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2\spreadsheets\"/>
    </mc:Choice>
  </mc:AlternateContent>
  <bookViews>
    <workbookView xWindow="0" yWindow="0" windowWidth="27750" windowHeight="11820" activeTab="3"/>
  </bookViews>
  <sheets>
    <sheet name="Quants" sheetId="3" r:id="rId1"/>
    <sheet name="E2" sheetId="5" state="hidden" r:id="rId2"/>
    <sheet name="E3" sheetId="6" state="hidden" r:id="rId3"/>
    <sheet name="E2_QUANT" sheetId="7" r:id="rId4"/>
    <sheet name="VOID" sheetId="4" r:id="rId5"/>
    <sheet name="E5" sheetId="8" state="hidden" r:id="rId6"/>
    <sheet name="E7" sheetId="9" state="hidden" r:id="rId7"/>
    <sheet name="E9" sheetId="13" state="hidden" r:id="rId8"/>
    <sheet name="E10" sheetId="10" state="hidden" r:id="rId9"/>
    <sheet name="W2" sheetId="11" state="hidden" r:id="rId10"/>
    <sheet name="W5" sheetId="12" state="hidden" r:id="rId11"/>
  </sheets>
  <externalReferences>
    <externalReference r:id="rId12"/>
    <externalReference r:id="rId13"/>
    <externalReference r:id="rId14"/>
  </externalReferences>
  <definedNames>
    <definedName name="_xlnm.Print_Area" localSheetId="8">'E10'!#REF!</definedName>
    <definedName name="_xlnm.Print_Area" localSheetId="1">'E2'!#REF!</definedName>
    <definedName name="_xlnm.Print_Area" localSheetId="3">E2_QUANT!#REF!</definedName>
    <definedName name="_xlnm.Print_Area" localSheetId="2">'E3'!#REF!</definedName>
    <definedName name="_xlnm.Print_Area" localSheetId="5">'E5'!#REF!</definedName>
    <definedName name="_xlnm.Print_Area" localSheetId="6">'E7'!#REF!</definedName>
    <definedName name="_xlnm.Print_Area" localSheetId="7">'E9'!#REF!</definedName>
    <definedName name="_xlnm.Print_Area" localSheetId="9">'W2'!#REF!</definedName>
    <definedName name="_xlnm.Print_Area" localSheetId="10">'W5'!#REF!</definedName>
  </definedNames>
  <calcPr calcId="162913"/>
</workbook>
</file>

<file path=xl/calcChain.xml><?xml version="1.0" encoding="utf-8"?>
<calcChain xmlns="http://schemas.openxmlformats.org/spreadsheetml/2006/main">
  <c r="C127" i="7" l="1"/>
  <c r="C106" i="7"/>
  <c r="C116" i="7"/>
  <c r="C77" i="7"/>
  <c r="C52" i="7" l="1"/>
  <c r="C50" i="7" s="1"/>
  <c r="A6" i="3" l="1"/>
  <c r="B6" i="3"/>
  <c r="D6" i="3"/>
  <c r="E6" i="3"/>
  <c r="A7" i="3"/>
  <c r="B7" i="3"/>
  <c r="D7" i="3"/>
  <c r="E7" i="3"/>
  <c r="A8" i="3"/>
  <c r="B8" i="3"/>
  <c r="D8" i="3"/>
  <c r="E8" i="3"/>
  <c r="A10" i="3"/>
  <c r="B10" i="3"/>
  <c r="C10" i="3"/>
  <c r="D10" i="3"/>
  <c r="E10" i="3"/>
  <c r="A11" i="3"/>
  <c r="B11" i="3"/>
  <c r="D11" i="3"/>
  <c r="E11" i="3"/>
  <c r="B12" i="3"/>
  <c r="E12" i="3"/>
  <c r="A13" i="3"/>
  <c r="B13" i="3"/>
  <c r="D13" i="3"/>
  <c r="E13" i="3"/>
  <c r="A15" i="3"/>
  <c r="B15" i="3"/>
  <c r="D15" i="3"/>
  <c r="E15" i="3"/>
  <c r="A16" i="3"/>
  <c r="B16" i="3"/>
  <c r="D16" i="3"/>
  <c r="E16" i="3"/>
  <c r="A17" i="3"/>
  <c r="B17" i="3"/>
  <c r="D17" i="3"/>
  <c r="E17" i="3"/>
  <c r="A18" i="3"/>
  <c r="B18" i="3"/>
  <c r="D18" i="3"/>
  <c r="E18" i="3"/>
  <c r="A19" i="3"/>
  <c r="B19" i="3"/>
  <c r="D19" i="3"/>
  <c r="E19" i="3"/>
  <c r="A21" i="3"/>
  <c r="B21" i="3"/>
  <c r="D21" i="3"/>
  <c r="E21" i="3"/>
  <c r="A22" i="3"/>
  <c r="B22" i="3"/>
  <c r="D22" i="3"/>
  <c r="E22" i="3"/>
  <c r="A23" i="3"/>
  <c r="B23" i="3"/>
  <c r="C23" i="3"/>
  <c r="D23" i="3"/>
  <c r="E23" i="3"/>
  <c r="A24" i="3"/>
  <c r="B24" i="3"/>
  <c r="C24" i="3"/>
  <c r="D24" i="3"/>
  <c r="E24" i="3"/>
  <c r="B5" i="3"/>
  <c r="D5" i="3"/>
  <c r="E5" i="3"/>
  <c r="A5" i="3"/>
  <c r="C112" i="7" l="1"/>
  <c r="C110" i="7"/>
  <c r="C34" i="7"/>
  <c r="C32" i="7"/>
  <c r="C39" i="7"/>
  <c r="C40" i="7" s="1"/>
  <c r="F38" i="7"/>
  <c r="C35" i="7" l="1"/>
  <c r="C36" i="7" s="1"/>
  <c r="C42" i="7" s="1"/>
  <c r="C113" i="7"/>
  <c r="C101" i="7" s="1"/>
  <c r="C114" i="7"/>
  <c r="C90" i="7"/>
  <c r="C92" i="7" s="1"/>
  <c r="C79" i="7"/>
  <c r="C130" i="7"/>
  <c r="C123" i="7" s="1"/>
  <c r="C46" i="7"/>
  <c r="C152" i="7" l="1"/>
  <c r="C134" i="7"/>
  <c r="C120" i="7"/>
  <c r="C145" i="7" l="1"/>
  <c r="E26" i="3"/>
  <c r="E27" i="3"/>
  <c r="E28" i="3"/>
  <c r="E29" i="3"/>
  <c r="C100" i="7"/>
  <c r="C102" i="7" s="1"/>
  <c r="C67" i="7"/>
  <c r="D11" i="7" s="1"/>
  <c r="C11" i="3" s="1"/>
  <c r="D8" i="7"/>
  <c r="C8" i="3" s="1"/>
  <c r="C132" i="7"/>
  <c r="D19" i="7" s="1"/>
  <c r="C19" i="3" s="1"/>
  <c r="C155" i="7"/>
  <c r="C150" i="7" s="1"/>
  <c r="D13" i="7" s="1"/>
  <c r="C13" i="3" s="1"/>
  <c r="C144" i="7"/>
  <c r="C138" i="7"/>
  <c r="D21" i="7" s="1"/>
  <c r="C21" i="3" s="1"/>
  <c r="C118" i="7"/>
  <c r="D17" i="7" s="1"/>
  <c r="C17" i="3" s="1"/>
  <c r="C48" i="7"/>
  <c r="B14" i="12"/>
  <c r="C14" i="12"/>
  <c r="E14" i="12"/>
  <c r="F14" i="12"/>
  <c r="B20" i="12"/>
  <c r="E20" i="12"/>
  <c r="B36" i="12"/>
  <c r="C36" i="12"/>
  <c r="D36" i="12"/>
  <c r="E36" i="12"/>
  <c r="F36" i="12"/>
  <c r="G36" i="12"/>
  <c r="C45" i="12"/>
  <c r="C39" i="12"/>
  <c r="D7" i="12"/>
  <c r="C53" i="12"/>
  <c r="C48" i="12"/>
  <c r="D8" i="12"/>
  <c r="C55" i="12"/>
  <c r="D13" i="12"/>
  <c r="C59" i="12"/>
  <c r="D9" i="12"/>
  <c r="C63" i="12"/>
  <c r="D10" i="12"/>
  <c r="C72" i="12"/>
  <c r="C67" i="12"/>
  <c r="C74" i="12"/>
  <c r="D17" i="12"/>
  <c r="C87" i="12"/>
  <c r="C89" i="12"/>
  <c r="C78" i="12"/>
  <c r="C100" i="12"/>
  <c r="C102" i="12"/>
  <c r="C91" i="12"/>
  <c r="D20" i="12"/>
  <c r="C104" i="12"/>
  <c r="D23" i="12"/>
  <c r="C112" i="12"/>
  <c r="C116" i="12"/>
  <c r="C126" i="12"/>
  <c r="C108" i="12"/>
  <c r="D25" i="12"/>
  <c r="C120" i="12"/>
  <c r="C124" i="12"/>
  <c r="C128" i="12"/>
  <c r="D26" i="12"/>
  <c r="C140" i="12"/>
  <c r="C142" i="12"/>
  <c r="C148" i="12"/>
  <c r="C150" i="12"/>
  <c r="C152" i="12"/>
  <c r="C133" i="12"/>
  <c r="D27" i="12"/>
  <c r="C160" i="12"/>
  <c r="C155" i="12"/>
  <c r="D29" i="12"/>
  <c r="C162" i="12"/>
  <c r="D31" i="12"/>
  <c r="C166" i="12"/>
  <c r="D32" i="12"/>
  <c r="C171" i="12"/>
  <c r="C173" i="12"/>
  <c r="D33" i="12"/>
  <c r="B14" i="11"/>
  <c r="C14" i="11"/>
  <c r="B65" i="11"/>
  <c r="E14" i="11"/>
  <c r="F14" i="11"/>
  <c r="B20" i="11"/>
  <c r="E20" i="11"/>
  <c r="B36" i="11"/>
  <c r="C36" i="11"/>
  <c r="D36" i="11"/>
  <c r="E36" i="11"/>
  <c r="F36" i="11"/>
  <c r="G36" i="11"/>
  <c r="C44" i="11"/>
  <c r="C39" i="11"/>
  <c r="D7" i="11"/>
  <c r="C51" i="11"/>
  <c r="C47" i="11"/>
  <c r="D8" i="11"/>
  <c r="C53" i="11"/>
  <c r="D13" i="11"/>
  <c r="C57" i="11"/>
  <c r="D9" i="11"/>
  <c r="C61" i="11"/>
  <c r="D10" i="11"/>
  <c r="A65" i="11"/>
  <c r="D65" i="11"/>
  <c r="F65" i="11"/>
  <c r="C69" i="11"/>
  <c r="C71" i="11"/>
  <c r="C67" i="11"/>
  <c r="C72" i="11"/>
  <c r="C73" i="11"/>
  <c r="C65" i="11"/>
  <c r="D14" i="11"/>
  <c r="C74" i="11"/>
  <c r="C78" i="11"/>
  <c r="C82" i="11"/>
  <c r="D19" i="11"/>
  <c r="C91" i="11"/>
  <c r="C104" i="11"/>
  <c r="C106" i="11"/>
  <c r="C95" i="11"/>
  <c r="D20" i="11"/>
  <c r="A108" i="11"/>
  <c r="B108" i="11"/>
  <c r="D108" i="11"/>
  <c r="F108" i="11"/>
  <c r="C111" i="11"/>
  <c r="D23" i="11"/>
  <c r="C119" i="11"/>
  <c r="C123" i="11"/>
  <c r="C115" i="11"/>
  <c r="D25" i="11"/>
  <c r="C125" i="11"/>
  <c r="D26" i="11"/>
  <c r="C137" i="11"/>
  <c r="C139" i="11"/>
  <c r="C130" i="11"/>
  <c r="D27" i="11"/>
  <c r="C146" i="11"/>
  <c r="C141" i="11"/>
  <c r="D29" i="11"/>
  <c r="C148" i="11"/>
  <c r="D31" i="11"/>
  <c r="C152" i="11"/>
  <c r="D32" i="11"/>
  <c r="C156" i="11"/>
  <c r="D33" i="11"/>
  <c r="B14" i="10"/>
  <c r="C14" i="10"/>
  <c r="E14" i="10"/>
  <c r="F14" i="10"/>
  <c r="B20" i="10"/>
  <c r="E20" i="10"/>
  <c r="B36" i="10"/>
  <c r="C36" i="10"/>
  <c r="D36" i="10"/>
  <c r="E36" i="10"/>
  <c r="F36" i="10"/>
  <c r="G36" i="10"/>
  <c r="C44" i="10"/>
  <c r="C39" i="10"/>
  <c r="D7" i="10"/>
  <c r="C51" i="10"/>
  <c r="C47" i="10"/>
  <c r="D8" i="10"/>
  <c r="C53" i="10"/>
  <c r="D13" i="10"/>
  <c r="C57" i="10"/>
  <c r="D9" i="10"/>
  <c r="C61" i="10"/>
  <c r="D10" i="10"/>
  <c r="C65" i="10"/>
  <c r="C69" i="10"/>
  <c r="C82" i="10"/>
  <c r="C84" i="10"/>
  <c r="C73" i="10"/>
  <c r="D19" i="10"/>
  <c r="C95" i="10"/>
  <c r="C97" i="10"/>
  <c r="C86" i="10"/>
  <c r="D20" i="10"/>
  <c r="C99" i="10"/>
  <c r="D23" i="10"/>
  <c r="C111" i="10"/>
  <c r="C103" i="10"/>
  <c r="D25" i="10"/>
  <c r="C113" i="10"/>
  <c r="D26" i="10"/>
  <c r="C118" i="10"/>
  <c r="D27" i="10"/>
  <c r="C129" i="10"/>
  <c r="D29" i="10"/>
  <c r="C136" i="10"/>
  <c r="D31" i="10"/>
  <c r="C140" i="10"/>
  <c r="D32" i="10"/>
  <c r="C144" i="10"/>
  <c r="D33" i="10"/>
  <c r="B14" i="13"/>
  <c r="C14" i="13"/>
  <c r="E14" i="13"/>
  <c r="F14" i="13"/>
  <c r="B20" i="13"/>
  <c r="E20" i="13"/>
  <c r="B36" i="13"/>
  <c r="C36" i="13"/>
  <c r="D36" i="13"/>
  <c r="E36" i="13"/>
  <c r="F36" i="13"/>
  <c r="G36" i="13"/>
  <c r="C39" i="13"/>
  <c r="D7" i="13"/>
  <c r="C44" i="13"/>
  <c r="C51" i="13"/>
  <c r="C47" i="13"/>
  <c r="D8" i="13"/>
  <c r="C53" i="13"/>
  <c r="D13" i="13"/>
  <c r="C57" i="13"/>
  <c r="D9" i="13"/>
  <c r="C61" i="13"/>
  <c r="D10" i="13"/>
  <c r="C65" i="13"/>
  <c r="C69" i="13"/>
  <c r="C82" i="13"/>
  <c r="C84" i="13"/>
  <c r="C73" i="13"/>
  <c r="D19" i="13"/>
  <c r="C95" i="13"/>
  <c r="C97" i="13"/>
  <c r="C86" i="13"/>
  <c r="D20" i="13"/>
  <c r="C99" i="13"/>
  <c r="D23" i="13"/>
  <c r="C107" i="13"/>
  <c r="C111" i="13"/>
  <c r="C103" i="13"/>
  <c r="D25" i="13"/>
  <c r="C113" i="13"/>
  <c r="D26" i="13"/>
  <c r="C125" i="13"/>
  <c r="C127" i="13"/>
  <c r="C118" i="13"/>
  <c r="D27" i="13"/>
  <c r="C134" i="13"/>
  <c r="C129" i="13"/>
  <c r="D29" i="13"/>
  <c r="C136" i="13"/>
  <c r="D31" i="13"/>
  <c r="C140" i="13"/>
  <c r="D32" i="13"/>
  <c r="C144" i="13"/>
  <c r="D33" i="13"/>
  <c r="B14" i="9"/>
  <c r="C14" i="9"/>
  <c r="E14" i="9"/>
  <c r="F14" i="9"/>
  <c r="B20" i="9"/>
  <c r="E20" i="9"/>
  <c r="B36" i="9"/>
  <c r="C36" i="9"/>
  <c r="D36" i="9"/>
  <c r="E36" i="9"/>
  <c r="F36" i="9"/>
  <c r="G36" i="9"/>
  <c r="C44" i="9"/>
  <c r="C39" i="9"/>
  <c r="D7" i="9"/>
  <c r="C51" i="9"/>
  <c r="C47" i="9"/>
  <c r="D8" i="9"/>
  <c r="C53" i="9"/>
  <c r="D13" i="9"/>
  <c r="C61" i="9"/>
  <c r="C65" i="9"/>
  <c r="C57" i="9"/>
  <c r="D9" i="9"/>
  <c r="C71" i="9"/>
  <c r="C75" i="9"/>
  <c r="C67" i="9"/>
  <c r="D10" i="9"/>
  <c r="C77" i="9"/>
  <c r="C81" i="9"/>
  <c r="C94" i="9"/>
  <c r="C96" i="9"/>
  <c r="C85" i="9"/>
  <c r="C107" i="9"/>
  <c r="C109" i="9"/>
  <c r="C98" i="9"/>
  <c r="D20" i="9"/>
  <c r="C111" i="9"/>
  <c r="D23" i="9"/>
  <c r="C119" i="9"/>
  <c r="C123" i="9"/>
  <c r="C115" i="9"/>
  <c r="D25" i="9"/>
  <c r="C125" i="9"/>
  <c r="D26" i="9"/>
  <c r="C137" i="9"/>
  <c r="C139" i="9"/>
  <c r="C130" i="9"/>
  <c r="D27" i="9"/>
  <c r="C146" i="9"/>
  <c r="C141" i="9"/>
  <c r="D29" i="9"/>
  <c r="C148" i="9"/>
  <c r="D31" i="9"/>
  <c r="C152" i="9"/>
  <c r="D32" i="9"/>
  <c r="C156" i="9"/>
  <c r="D33" i="9"/>
  <c r="B14" i="8"/>
  <c r="C14" i="8"/>
  <c r="E14" i="8"/>
  <c r="F14" i="8"/>
  <c r="B20" i="8"/>
  <c r="E20" i="8"/>
  <c r="B36" i="8"/>
  <c r="C36" i="8"/>
  <c r="D36" i="8"/>
  <c r="E36" i="8"/>
  <c r="F36" i="8"/>
  <c r="G36" i="8"/>
  <c r="C44" i="8"/>
  <c r="C52" i="8"/>
  <c r="C54" i="8"/>
  <c r="C50" i="8"/>
  <c r="D8" i="8"/>
  <c r="C47" i="8"/>
  <c r="C39" i="8"/>
  <c r="D7" i="8"/>
  <c r="C56" i="8"/>
  <c r="D13" i="8"/>
  <c r="C67" i="8"/>
  <c r="C62" i="8"/>
  <c r="C69" i="8"/>
  <c r="D17" i="8"/>
  <c r="C83" i="8"/>
  <c r="C85" i="8"/>
  <c r="C74" i="8"/>
  <c r="D19" i="8"/>
  <c r="C96" i="8"/>
  <c r="C98" i="8"/>
  <c r="C87" i="8"/>
  <c r="D20" i="8"/>
  <c r="C100" i="8"/>
  <c r="D23" i="8"/>
  <c r="C108" i="8"/>
  <c r="C109" i="8"/>
  <c r="C116" i="8"/>
  <c r="C104" i="8"/>
  <c r="D25" i="8"/>
  <c r="C113" i="8"/>
  <c r="C114" i="8"/>
  <c r="C118" i="8"/>
  <c r="D26" i="8"/>
  <c r="C129" i="8"/>
  <c r="C130" i="8"/>
  <c r="C138" i="8"/>
  <c r="C123" i="8"/>
  <c r="D27" i="8"/>
  <c r="C135" i="8"/>
  <c r="C136" i="8"/>
  <c r="C145" i="8"/>
  <c r="C140" i="8"/>
  <c r="D29" i="8"/>
  <c r="C147" i="8"/>
  <c r="D31" i="8"/>
  <c r="C151" i="8"/>
  <c r="D32" i="8"/>
  <c r="C155" i="8"/>
  <c r="D33" i="8"/>
  <c r="B12" i="7"/>
  <c r="A12" i="3" s="1"/>
  <c r="E12" i="7"/>
  <c r="D12" i="3" s="1"/>
  <c r="C58" i="7"/>
  <c r="C54" i="7" s="1"/>
  <c r="C61" i="7"/>
  <c r="D7" i="7" s="1"/>
  <c r="C7" i="3" s="1"/>
  <c r="C94" i="7"/>
  <c r="D15" i="7" s="1"/>
  <c r="C15" i="3" s="1"/>
  <c r="A150" i="7"/>
  <c r="B150" i="7"/>
  <c r="D150" i="7"/>
  <c r="B14" i="6"/>
  <c r="C14" i="6"/>
  <c r="E14" i="6"/>
  <c r="F14" i="6"/>
  <c r="B20" i="6"/>
  <c r="E20" i="6"/>
  <c r="B36" i="6"/>
  <c r="C36" i="6"/>
  <c r="D36" i="6"/>
  <c r="E36" i="6"/>
  <c r="F36" i="6"/>
  <c r="G36" i="6"/>
  <c r="C43" i="6"/>
  <c r="C39" i="6"/>
  <c r="D7" i="6"/>
  <c r="C50" i="6"/>
  <c r="C46" i="6"/>
  <c r="D8" i="6"/>
  <c r="C52" i="6"/>
  <c r="D13" i="6"/>
  <c r="C58" i="6"/>
  <c r="C81" i="6"/>
  <c r="C90" i="6"/>
  <c r="C79" i="6"/>
  <c r="D20" i="6"/>
  <c r="C62" i="6"/>
  <c r="C75" i="6"/>
  <c r="C77" i="6"/>
  <c r="C66" i="6"/>
  <c r="C88" i="6"/>
  <c r="C92" i="6"/>
  <c r="D23" i="6"/>
  <c r="C96" i="6"/>
  <c r="D25" i="6"/>
  <c r="C100" i="6"/>
  <c r="D26" i="6"/>
  <c r="C110" i="6"/>
  <c r="C117" i="6"/>
  <c r="C105" i="6"/>
  <c r="D27" i="6"/>
  <c r="C114" i="6"/>
  <c r="C121" i="6"/>
  <c r="C119" i="6"/>
  <c r="D29" i="6"/>
  <c r="C124" i="6"/>
  <c r="D31" i="6"/>
  <c r="C128" i="6"/>
  <c r="D32" i="6"/>
  <c r="C133" i="6"/>
  <c r="D33" i="6"/>
  <c r="B14" i="5"/>
  <c r="C14" i="5"/>
  <c r="E14" i="5"/>
  <c r="F14" i="5"/>
  <c r="B20" i="5"/>
  <c r="E20" i="5"/>
  <c r="B36" i="5"/>
  <c r="C36" i="5"/>
  <c r="D36" i="5"/>
  <c r="E36" i="5"/>
  <c r="F36" i="5"/>
  <c r="G36" i="5"/>
  <c r="C43" i="5"/>
  <c r="C39" i="5"/>
  <c r="D7" i="5"/>
  <c r="C50" i="5"/>
  <c r="C46" i="5"/>
  <c r="D8" i="5"/>
  <c r="C52" i="5"/>
  <c r="D13" i="5"/>
  <c r="C56" i="5"/>
  <c r="C71" i="5"/>
  <c r="C60" i="5"/>
  <c r="C82" i="5"/>
  <c r="C84" i="5"/>
  <c r="C73" i="5"/>
  <c r="C95" i="5"/>
  <c r="C97" i="5"/>
  <c r="C86" i="5"/>
  <c r="D20" i="5"/>
  <c r="C99" i="5"/>
  <c r="D23" i="5"/>
  <c r="C107" i="5"/>
  <c r="C137" i="5"/>
  <c r="C103" i="5"/>
  <c r="D25" i="5"/>
  <c r="C111" i="5"/>
  <c r="C115" i="5"/>
  <c r="C119" i="5"/>
  <c r="C123" i="5"/>
  <c r="C127" i="5"/>
  <c r="C131" i="5"/>
  <c r="C135" i="5"/>
  <c r="C139" i="5"/>
  <c r="D26" i="5"/>
  <c r="C148" i="5"/>
  <c r="C150" i="5"/>
  <c r="C151" i="5"/>
  <c r="C154" i="5"/>
  <c r="C156" i="5"/>
  <c r="C160" i="5"/>
  <c r="C166" i="5"/>
  <c r="C169" i="5"/>
  <c r="C168" i="5"/>
  <c r="C172" i="5"/>
  <c r="C178" i="5"/>
  <c r="C180" i="5"/>
  <c r="C181" i="5"/>
  <c r="C184" i="5"/>
  <c r="C190" i="5"/>
  <c r="C192" i="5"/>
  <c r="C202" i="5"/>
  <c r="C197" i="5"/>
  <c r="D29" i="5"/>
  <c r="C204" i="5"/>
  <c r="D31" i="5"/>
  <c r="C208" i="5"/>
  <c r="D32" i="5"/>
  <c r="C213" i="5"/>
  <c r="D33" i="5"/>
  <c r="B2" i="4"/>
  <c r="C2" i="4"/>
  <c r="D2" i="4"/>
  <c r="B3" i="4"/>
  <c r="C3" i="4"/>
  <c r="D3" i="4"/>
  <c r="B4" i="4"/>
  <c r="C4" i="4"/>
  <c r="D4" i="4"/>
  <c r="B5" i="4"/>
  <c r="C5" i="4"/>
  <c r="D5" i="4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G11" i="4" s="1"/>
  <c r="C12" i="4"/>
  <c r="D12" i="4"/>
  <c r="B13" i="4"/>
  <c r="C13" i="4"/>
  <c r="D13" i="4"/>
  <c r="B14" i="4"/>
  <c r="C14" i="4"/>
  <c r="D14" i="4"/>
  <c r="G14" i="4" s="1"/>
  <c r="D15" i="4"/>
  <c r="G15" i="4" s="1"/>
  <c r="D16" i="4"/>
  <c r="G16" i="4" s="1"/>
  <c r="D17" i="4"/>
  <c r="G17" i="4" s="1"/>
  <c r="D18" i="4"/>
  <c r="G18" i="4" s="1"/>
  <c r="D19" i="4"/>
  <c r="G19" i="4" s="1"/>
  <c r="B20" i="4"/>
  <c r="C20" i="4"/>
  <c r="D20" i="4"/>
  <c r="B21" i="4"/>
  <c r="C21" i="4"/>
  <c r="D21" i="4"/>
  <c r="C27" i="3"/>
  <c r="C28" i="3"/>
  <c r="A29" i="3"/>
  <c r="B29" i="3"/>
  <c r="C29" i="3"/>
  <c r="D29" i="3"/>
  <c r="F29" i="3"/>
  <c r="C186" i="5"/>
  <c r="C187" i="5"/>
  <c r="C174" i="5"/>
  <c r="C175" i="5"/>
  <c r="C162" i="5"/>
  <c r="C163" i="5"/>
  <c r="C193" i="5"/>
  <c r="C157" i="5"/>
  <c r="C195" i="5"/>
  <c r="C144" i="5"/>
  <c r="D27" i="5"/>
  <c r="C104" i="7" l="1"/>
  <c r="C98" i="7" s="1"/>
  <c r="D16" i="7" s="1"/>
  <c r="C16" i="3" s="1"/>
  <c r="G10" i="4"/>
  <c r="C44" i="7"/>
  <c r="D6" i="7" s="1"/>
  <c r="C6" i="3" s="1"/>
  <c r="G8" i="4"/>
  <c r="G21" i="4"/>
  <c r="G6" i="4"/>
  <c r="G3" i="4"/>
  <c r="G12" i="4"/>
  <c r="G13" i="4"/>
  <c r="C81" i="7"/>
  <c r="D12" i="7" s="1"/>
  <c r="C12" i="3" s="1"/>
  <c r="G7" i="4"/>
  <c r="G4" i="4"/>
  <c r="C28" i="7"/>
  <c r="D5" i="7" s="1"/>
  <c r="C5" i="3" s="1"/>
  <c r="D18" i="7"/>
  <c r="C18" i="3" s="1"/>
  <c r="C148" i="7"/>
  <c r="C142" i="7" s="1"/>
  <c r="D22" i="7" s="1"/>
  <c r="C22" i="3" s="1"/>
  <c r="G20" i="4"/>
  <c r="G5" i="4"/>
  <c r="G9" i="4"/>
</calcChain>
</file>

<file path=xl/comments1.xml><?xml version="1.0" encoding="utf-8"?>
<comments xmlns="http://schemas.openxmlformats.org/spreadsheetml/2006/main">
  <authors>
    <author>Meet Shah</author>
  </authors>
  <commentList>
    <comment ref="F54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Is paid for under  Item 840 - Foundation Preparation</t>
        </r>
      </text>
    </comment>
    <comment ref="C102" authorId="0" shapeId="0">
      <text>
        <r>
          <rPr>
            <b/>
            <sz val="9"/>
            <color indexed="81"/>
            <rFont val="Tahoma"/>
            <family val="2"/>
          </rPr>
          <t>Meet Shah:</t>
        </r>
        <r>
          <rPr>
            <sz val="9"/>
            <color indexed="81"/>
            <rFont val="Tahoma"/>
            <family val="2"/>
          </rPr>
          <t xml:space="preserve">
NOT INCLUDED IN TOTAL</t>
        </r>
      </text>
    </comment>
    <comment ref="F102" authorId="0" shapeId="0">
      <text>
        <r>
          <rPr>
            <b/>
            <sz val="9"/>
            <color indexed="81"/>
            <rFont val="Tahoma"/>
            <family val="2"/>
          </rPr>
          <t>Meet Shah:
NOT INCLUDED IN TOTAL</t>
        </r>
      </text>
    </comment>
  </commentList>
</comments>
</file>

<file path=xl/sharedStrings.xml><?xml version="1.0" encoding="utf-8"?>
<sst xmlns="http://schemas.openxmlformats.org/spreadsheetml/2006/main" count="1969" uniqueCount="323">
  <si>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</si>
  <si>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</si>
  <si>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</si>
  <si>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</si>
  <si>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</si>
  <si>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</si>
  <si>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</si>
  <si>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</si>
  <si>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</si>
  <si>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</si>
  <si>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</si>
  <si>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</si>
  <si>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</si>
  <si>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</si>
  <si>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</si>
  <si>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</si>
  <si>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</si>
  <si>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</si>
  <si>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</si>
  <si>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</si>
  <si>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</si>
  <si>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</si>
  <si>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</si>
  <si>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</si>
  <si>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</si>
  <si>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</si>
  <si>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</si>
  <si>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</si>
  <si>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</si>
  <si>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</si>
  <si>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</si>
  <si>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</si>
  <si>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</si>
  <si>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</si>
  <si>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</si>
  <si>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</si>
  <si>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</si>
  <si>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</si>
  <si>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</si>
  <si>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</si>
  <si>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</si>
  <si>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</si>
  <si>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</si>
  <si>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</si>
  <si>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</si>
  <si>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</si>
  <si>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</si>
  <si>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</si>
  <si>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</si>
  <si>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</si>
  <si>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</si>
  <si>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</si>
  <si>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</si>
  <si>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</si>
  <si>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</si>
  <si>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</si>
  <si>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</si>
  <si>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</si>
  <si>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</si>
  <si>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</si>
  <si>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</si>
  <si>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E2</t>
  </si>
  <si>
    <t>WALL E3</t>
  </si>
  <si>
    <t>WALL E5</t>
  </si>
  <si>
    <t>WALL E7</t>
  </si>
  <si>
    <t>WALL E9</t>
  </si>
  <si>
    <t>WALL W2</t>
  </si>
  <si>
    <t>WALL W5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</si>
  <si>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</si>
  <si>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</si>
  <si>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</si>
  <si>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</si>
  <si>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</si>
  <si>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</si>
  <si>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</si>
  <si>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</si>
  <si>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</si>
  <si>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NATURAL SOIL</t>
  </si>
  <si>
    <t>6" DRAINAGE PIPE, PERFORATED</t>
  </si>
  <si>
    <t>6" DRAINAGE PIPE, NON-PERFORATED</t>
  </si>
  <si>
    <t>CONCRETE COPING</t>
  </si>
  <si>
    <t>DAY</t>
  </si>
  <si>
    <t>ON-SITE ASSISTANCE</t>
  </si>
  <si>
    <t>PAVED GUTTER</t>
  </si>
  <si>
    <t>LS</t>
  </si>
  <si>
    <t>AESTHETIC SURFACE TREATMENT</t>
  </si>
  <si>
    <t>SGB INSPETION AND COMPACTION TESTING</t>
  </si>
  <si>
    <t>SEALING OF CONCRETE SURFACES, (PERMANENT GRAFFITI PROTECTION), AS PER PLAN</t>
  </si>
  <si>
    <t>SEALING OF CONCRETE SURFACES (EPOXY URETHANE)</t>
  </si>
  <si>
    <t>ROADWAY MISC.: EPS GEOFOAM FILL</t>
  </si>
  <si>
    <t>ROADWAY MISC.: STONE COLUMNS</t>
  </si>
  <si>
    <t>CLASS QC2 CONCRETE, MISC.: LATERAL DISTRIBUTION SLAB</t>
  </si>
  <si>
    <t>CONCRETE MISC.: PRECAST WALL PANELS</t>
  </si>
  <si>
    <t>CONCRETE MISC.: PRECAST FOOTING</t>
  </si>
  <si>
    <t>PORTIONS OF STRUCTURE REMOVED</t>
  </si>
  <si>
    <t>GRANULAR MATERIAL TYPE C</t>
  </si>
  <si>
    <t>PLAN AREA-SHADED AREA IN E2WP001</t>
  </si>
  <si>
    <t>THICKNESS, PER TYPICAL SECTION</t>
  </si>
  <si>
    <t>CU FT</t>
  </si>
  <si>
    <t>VOLUME</t>
  </si>
  <si>
    <t>STEP 1 ELEV</t>
  </si>
  <si>
    <t>STEP 2 ELEV</t>
  </si>
  <si>
    <t>STEP 3 ELEV</t>
  </si>
  <si>
    <t>STEP 4 ELEV</t>
  </si>
  <si>
    <t>STEP 5 ELEV</t>
  </si>
  <si>
    <t>STEP 6 ELEV</t>
  </si>
  <si>
    <t>STEP 7 ELEV</t>
  </si>
  <si>
    <t>STEP 8 ELEV</t>
  </si>
  <si>
    <t>STEP 1 LENGTH</t>
  </si>
  <si>
    <t>STEP 2 LENGTH</t>
  </si>
  <si>
    <t>STEP 3 LENGTH</t>
  </si>
  <si>
    <t>STEP 4 LENGTH</t>
  </si>
  <si>
    <t>STEP 5 LENGTH</t>
  </si>
  <si>
    <t>STEP 6 LENGTH</t>
  </si>
  <si>
    <t>STEP 7 LENGTH</t>
  </si>
  <si>
    <t>STEP 8 LENGTH</t>
  </si>
  <si>
    <t>STEP 1 WALL HEIGHT</t>
  </si>
  <si>
    <t>STEP 2 WALL HEIGHT</t>
  </si>
  <si>
    <t>STEP 3 WALL HEIGHT</t>
  </si>
  <si>
    <t>STEP 4 WALL HEIGHT</t>
  </si>
  <si>
    <t>STEP 5 WALL HEIGHT</t>
  </si>
  <si>
    <t>STEP 6 WALL HEIGHT</t>
  </si>
  <si>
    <t>STEP 7 WALL HEIGHT</t>
  </si>
  <si>
    <t>STEP 8 WALL HEIGHT</t>
  </si>
  <si>
    <t>DEPTH</t>
  </si>
  <si>
    <t>TOTAL VOLUME OF BACKFILL</t>
  </si>
  <si>
    <t>AREA</t>
  </si>
  <si>
    <t>TOTAL LENGTH</t>
  </si>
  <si>
    <t>PANEL WALL AREA-SEE 511-71200</t>
  </si>
  <si>
    <t>OUTSIDE FACE-COPING</t>
  </si>
  <si>
    <t>TOP FACE-COPING</t>
  </si>
  <si>
    <t>BACK FACE-COPING</t>
  </si>
  <si>
    <t>LENGTH-SEE ITEM 511-81100</t>
  </si>
  <si>
    <t>AREA OF COPING</t>
  </si>
  <si>
    <t>TOTAL AREA TO SEAL</t>
  </si>
  <si>
    <t>STEP 1-FROM EX. GROUND TO BOTTOM FOOTING</t>
  </si>
  <si>
    <t>STEP 1 DEPTH-TO BACK OF FILL-FROM PLAN VIEW</t>
  </si>
  <si>
    <t>VOLUME STEP 1</t>
  </si>
  <si>
    <t>STEP 2-FROM EX. GROUND TO BOTTOM FOOTING</t>
  </si>
  <si>
    <t>STEP 2 DEPTH-TO BACK OF FILL-FROM PLAN VIEW</t>
  </si>
  <si>
    <t>VOLUME STEP 2</t>
  </si>
  <si>
    <t>STEP 3-FROM EX. GROUND TO BOTTOM FOOTING</t>
  </si>
  <si>
    <t>STEP 3 DEPTH-TO BACK OF FILL-FROM PLAN VIEW</t>
  </si>
  <si>
    <t>VOLUME STEP 3</t>
  </si>
  <si>
    <t>STEP 4-FROM EX. GROUND TO BOTTOM FOOTING</t>
  </si>
  <si>
    <t>STEP 4 DEPTH-TO BACK OF FILL-FROM PLAN VIEW</t>
  </si>
  <si>
    <t>VOLUME STEP 4</t>
  </si>
  <si>
    <t>STEP 5-FROM EX. GROUND TO BOTTOM FOOTING</t>
  </si>
  <si>
    <t>STEP 5 DEPTH-TO BACK OF FILL-FROM PLAN VIEW</t>
  </si>
  <si>
    <t>VOLUME STEP 5</t>
  </si>
  <si>
    <t>STEP 6-FROM EX. GROUND TO BOTTOM FOOTING</t>
  </si>
  <si>
    <t>STEP 6 DEPTH-TO BACK OF FILL-FROM PLAN VIEW</t>
  </si>
  <si>
    <t>VOLUME STEP 6</t>
  </si>
  <si>
    <t>STEP 7-FROM EX. GROUND TO BOTTOM FOOTING</t>
  </si>
  <si>
    <t>STEP 7 DEPTH-TO BACK OF FILL-FROM PLAN VIEW</t>
  </si>
  <si>
    <t>VOLUME STEP 7</t>
  </si>
  <si>
    <t>STEP 8-FROM EX. GROUND TO BOTTOM FOOTING</t>
  </si>
  <si>
    <t>STEP 8 DEPTH-TO BACK OF FILL-FROM PLAN VIEW</t>
  </si>
  <si>
    <t>VOLUME STEP 8</t>
  </si>
  <si>
    <t>TOTAL VOLUME</t>
  </si>
  <si>
    <t>PLAN AREA, FROM 02WP001</t>
  </si>
  <si>
    <t>MEASURED FROM PROFILE</t>
  </si>
  <si>
    <t>ESTIMATE, WOULD DEPEND ON FINAL LAYOUT WHERE TO TIE PIPE INTO</t>
  </si>
  <si>
    <t>PLAN AREA-SHADED AREA IN E3WP001</t>
  </si>
  <si>
    <t>LENGTH OF COPING</t>
  </si>
  <si>
    <t>TOTAL LENGTH-LEVELLING PAD</t>
  </si>
  <si>
    <t>MEASURED PROFILE TO RIGHT END OF WALL</t>
  </si>
  <si>
    <t>MEASURED IN PROFILE, ALONG E3 WALL STATIONING</t>
  </si>
  <si>
    <t>NONE SHOWN ON PLANS</t>
  </si>
  <si>
    <t>STEP 2-ELEVATION AREA-0.5' BELOW TOP OF COPING</t>
  </si>
  <si>
    <t>STEP 1-ELEVATION AREA-0.5' BELOW TOP OF COPING</t>
  </si>
  <si>
    <t>PLAN AREA-SHADED REGION AREA</t>
  </si>
  <si>
    <t>FULL LENGTH MSE WALL</t>
  </si>
  <si>
    <t>AESTHETIC FACE TREATMENT</t>
  </si>
  <si>
    <t>NONE SHOWN ON PLANS, TIES INTO ANOTHER WALL</t>
  </si>
  <si>
    <t>PLAN AREA-SOUTH SECTION</t>
  </si>
  <si>
    <t>TOTAL PRECAST WALL AREA</t>
  </si>
  <si>
    <t>LENGTH LEFT PART OF WALL-LEVELLING PAD</t>
  </si>
  <si>
    <t>MSE WALL AREA</t>
  </si>
  <si>
    <t>LEFT WALL, AREA B/W EXISTING GROUND AND BOTTOM OF LEVELLING PAD</t>
  </si>
  <si>
    <t>RIGHT WALL, AREA B/W EXISTING GROUND AND BOTTOM OF LEVELLING PAD</t>
  </si>
  <si>
    <t>VOLUME LEFT WALL</t>
  </si>
  <si>
    <t>PLAN AREA-BOTH WALLS</t>
  </si>
  <si>
    <t xml:space="preserve">AVG. DEPTH OF BACKFILL </t>
  </si>
  <si>
    <t>AVG. DEPTH OF BACKFILL</t>
  </si>
  <si>
    <t>VOLUME RIGHT WALL</t>
  </si>
  <si>
    <t>ELEVATION 0.5' BELOW TOP OF WALL, EXCLUDING LEVELLING PAD</t>
  </si>
  <si>
    <t>TOTAL VOLUME-LEFT</t>
  </si>
  <si>
    <t>TOTAL VOLUME-RIGHT</t>
  </si>
  <si>
    <t>TOTAL LENGTH BOTH MSE WALLS</t>
  </si>
  <si>
    <t>EXTRA FOR STEPS</t>
  </si>
  <si>
    <t>TOTAL PERFORATED PIPE</t>
  </si>
  <si>
    <t>PER GENERAL NOTES</t>
  </si>
  <si>
    <t>ELEV. AREA</t>
  </si>
  <si>
    <t>AVG. HEIGHT</t>
  </si>
  <si>
    <t>PLAN AREA</t>
  </si>
  <si>
    <t>VOLUME GEOFOAM</t>
  </si>
  <si>
    <t>ROADWAY MISC.: LIGHT WEIGHT BACKFILL</t>
  </si>
  <si>
    <t>ROAD MISC.: LIGHT WEIGHT BACKFILL</t>
  </si>
  <si>
    <t>VOLUME LEIGHT WEIGHT BACKFILL</t>
  </si>
  <si>
    <t>LENGTH</t>
  </si>
  <si>
    <t>ELEVATION AREA</t>
  </si>
  <si>
    <t>WALL, AREA B/W EXISTING GROUND AND BOTTOM OF LEVELLING PAD</t>
  </si>
  <si>
    <t>LENGTH OF WALL</t>
  </si>
  <si>
    <t>ELEVATION 0.5' BELOW TOP OF WALL, INCLUDING LEVELLING PAD</t>
  </si>
  <si>
    <t>AVG. DEPTH OF REMOVAL</t>
  </si>
  <si>
    <t>EXTRA FOR STEPS &amp; CHANGE IN ELEV.</t>
  </si>
  <si>
    <t>WALL AREA-BETWEEN BOTTOM OF COPING AND TOP OF LEVELLING PAD, MEASURED IN MICROSTATION</t>
  </si>
  <si>
    <t>TOTAL WALL AREA, MEASURED IN MICORSTATION, BETWEEN BOTTOM OF COPING AND TOP OF LEVELING PAD</t>
  </si>
  <si>
    <t>DIFFERENCE DUE TO ELEVATION AND STEPS</t>
  </si>
  <si>
    <t>TOTAL LENGTH OF PIPE</t>
  </si>
  <si>
    <t>STATION DIFFERENCE</t>
  </si>
  <si>
    <t>WALL AREA-BETWEEN BOTTOM OF COPING AND TOP OF LEVELING PAD</t>
  </si>
  <si>
    <t>TOTAL WALL SURFACE AREA</t>
  </si>
  <si>
    <t>TOTAL VOLUME-EXISTING GROUND AND BELOW WALL LIMITS</t>
  </si>
  <si>
    <t>LEFT WALL ELEV-BOTTOM OF COPING TO TOP OF LEVELLING PAD</t>
  </si>
  <si>
    <t>PLAN AREA-NORTH SECTION(LOWER STATIONING)</t>
  </si>
  <si>
    <t>PLAN AREA-SOUTH SECTION(HIGHER STATIONING)</t>
  </si>
  <si>
    <t>RIGHT WALL ELEV-BOTTOM OF COPING TO TOP OF LEVELLING PAD</t>
  </si>
  <si>
    <t>TOTAL LENGTH-LEVELING PAD IS CIP</t>
  </si>
  <si>
    <t>VOLUME WALL</t>
  </si>
  <si>
    <t>ELEVATION 0.5' BELOW TOP OF COPING, INCLUDING LEVELLING PAD</t>
  </si>
  <si>
    <t>LENGTH OF FOOTING</t>
  </si>
  <si>
    <t>AVG. LENGTH FILL, PERPENDICULAR TO WALL</t>
  </si>
  <si>
    <t>PLAN AREA-SHADED SECTION</t>
  </si>
  <si>
    <t>PLAN AREA-SHADED REGION LEFT</t>
  </si>
  <si>
    <t>PLAN AREA-SHADED REGION RIGHT</t>
  </si>
  <si>
    <t>ELEV AREA-LEFT WALL-BOTTOM OF COPING TO TOP OF LEVELING PAD</t>
  </si>
  <si>
    <t>ELEV AREA-RIGHT WALL-BOTTOM OF COPING TO TOP OF LEVELING PAD</t>
  </si>
  <si>
    <t>LENGTH OF COPING, BOTH WALLS, USED STATION DIFFERENCE FOR BOTH</t>
  </si>
  <si>
    <t xml:space="preserve"> LEFT WALL, AREA B/W EXISTING GROUND AND BOTTOM OF LEVELLING PAD</t>
  </si>
  <si>
    <t>LEFT WALL VOLUME</t>
  </si>
  <si>
    <t>PLAN AREA-RIGHT</t>
  </si>
  <si>
    <t>RIGHT WALL VOLUME</t>
  </si>
  <si>
    <t>ELEVATION 0.5' BELOW TOP OF COPING, INCLUDING LEVELLING PAD, LEFT WALL</t>
  </si>
  <si>
    <t>ELEVATION 0.5' BELOW TOP OF COPING, INCLUDING LEVELLING PAD, RIGHT WALL</t>
  </si>
  <si>
    <t>PLAN AREA, LEFT</t>
  </si>
  <si>
    <t>PLAN AREA, RIGHT</t>
  </si>
  <si>
    <t>TOTAL VOLUME-BOTH WALLS</t>
  </si>
  <si>
    <t>TOTAL VOLUME-RIGHT WALL</t>
  </si>
  <si>
    <t>TOTAL VOLUME-LEFT WALL</t>
  </si>
  <si>
    <t>LEFT WALL</t>
  </si>
  <si>
    <t>RIGHT WALL</t>
  </si>
  <si>
    <t>PLAN AREA-LEFT WALL</t>
  </si>
  <si>
    <t>PLAN AREA-RIGHT WALL</t>
  </si>
  <si>
    <t>AVG. HEIGHT OF REMOVAL</t>
  </si>
  <si>
    <t>TOTAL WALL EXCAVATION</t>
  </si>
  <si>
    <t>ELEV. AREA-MEASURED IN MICROSTATION 0W2BF001 FILE</t>
  </si>
  <si>
    <t>ITEM NOT NEEDED FOR THIS WALL PER GENERAL NOTES</t>
  </si>
  <si>
    <t>NOT NEEDED PER GENERAL NOTES</t>
  </si>
  <si>
    <t xml:space="preserve"> </t>
  </si>
  <si>
    <t>TOTAL COMBINED</t>
  </si>
  <si>
    <t>PLAN AREA-SEE ABOVE</t>
  </si>
  <si>
    <t>LENGTH RIGHT WALL</t>
  </si>
  <si>
    <t>SEE ITEM 203</t>
  </si>
  <si>
    <t>LENGTH OF LEFT WALL</t>
  </si>
  <si>
    <t>LENGTH OF RIGHT WALL</t>
  </si>
  <si>
    <t>ELEVATION 0.5' BELOW BOTTOM OF COPING, EXCLUDING LEVELLING PAD, LEFT WALL</t>
  </si>
  <si>
    <t>PLAN AREA, SEE ITEM 203</t>
  </si>
  <si>
    <t>DEPTH OF BACKFILL PERPENDICULAR TO WALL</t>
  </si>
  <si>
    <t>LOW HEIGHT, ELEVATION VIEW</t>
  </si>
  <si>
    <t>HIGH HEIGHT, ELEVATION VIEW</t>
  </si>
  <si>
    <t>PLAN AREA, SHAPE IN PLAN VIEW</t>
  </si>
  <si>
    <t>ELEV. AREA, BUTTOM OF COPING TO TOP OF LEVELING PAD</t>
  </si>
  <si>
    <t>AVG. DEPTH PERPENDICULAR TO WALL</t>
  </si>
  <si>
    <t>x</t>
  </si>
  <si>
    <t>ELEVATION 0.5' BELOW BOTTOM OF COPING, INCLUDING LEVELLING PAD</t>
  </si>
  <si>
    <t>WALL E10</t>
  </si>
  <si>
    <t>only 10'</t>
  </si>
  <si>
    <t>round up</t>
  </si>
  <si>
    <t>cu ft</t>
  </si>
  <si>
    <t>area of moment slab and concrete barrier (typ section)</t>
  </si>
  <si>
    <t>sq ft</t>
  </si>
  <si>
    <t>ft</t>
  </si>
  <si>
    <t>length</t>
  </si>
  <si>
    <t>sf</t>
  </si>
  <si>
    <t>area of moment slab and concrete barrier (at truss - max)</t>
  </si>
  <si>
    <t>area of moment slab and concrete barrier (at truss - min.)</t>
  </si>
  <si>
    <t>total</t>
  </si>
  <si>
    <t>cu yd</t>
  </si>
  <si>
    <t>ROADWAY MISC.: CONTROLLED MODULUS COLUMNS</t>
  </si>
  <si>
    <t>1/2" PREFORMED EXPANSION JOINT FILLER</t>
  </si>
  <si>
    <t>AREA - TOP OF COPING TO TOP OF LEVELING PAD</t>
  </si>
  <si>
    <t>MEASURED PIPE LENGTH IN BASEMAP</t>
  </si>
  <si>
    <t>LENGTH OF ABUTMENT COPING</t>
  </si>
  <si>
    <t>DEPTH OF JOINT</t>
  </si>
  <si>
    <t>AREA OF COPING AND BARRIER</t>
  </si>
  <si>
    <t>COFFERDAMS AND EXCAVATION BRACING, AS PER PLAN</t>
  </si>
  <si>
    <t>SGB INSPECTION AND COMPACTION TESTING</t>
  </si>
  <si>
    <t>PANEL WALL AREA (10FT ABOVE PROPOSED GROUND)</t>
  </si>
  <si>
    <t>LENGTH OF COPING AFFECTED</t>
  </si>
  <si>
    <t>SEALING OF CONCRETE SURFACES, AS PER PLAN (PERMANENT GRAFFITI PROTECTION)</t>
  </si>
  <si>
    <t>HEIGHT OF COPING</t>
  </si>
  <si>
    <t>AESTHETIC FACE TREATMENT (MSE WALL AREA MINUS COPING AREA)</t>
  </si>
  <si>
    <t>LENGTH OF COPING/WALL</t>
  </si>
  <si>
    <t>PLAN AREA, FROM E2BW001</t>
  </si>
  <si>
    <t>LENGTH OF WALL IN FRONT OF ABUTMENT (1358L&amp;R) (TOTAL 2 JOINTS)</t>
  </si>
  <si>
    <t>PLAN AREA CALCULATED FROM BASEMAP (EXCLUDING 2' PORUSBACKFILL) (LIMITS PER TYPICAL CROSS SECTION)</t>
  </si>
  <si>
    <t>AVERAGE DEPTH PLAN AREA (BASED ON ELEVATION FOR RA 1358L) (BOTTOM OF APPROACH - 746.37 , BOTTOM OF GRANULAR MATERIAL - 736</t>
  </si>
  <si>
    <t>PLAN AREA FOR SGB (BW001)</t>
  </si>
  <si>
    <t>ELEVATION AREA FROM (BOTTOM OF FOOT. TO TOP OF SGB = EL- 736.0) (BF001)</t>
  </si>
  <si>
    <t>TOTAL LENGTH OF WALL</t>
  </si>
  <si>
    <t>AVERAGE DEPTH OF FILL ( ELEVATION AREA/ TOTAL LENGTH)</t>
  </si>
  <si>
    <t>TOTAL VOLUME (AVERAGE DEPTH * PLAN AREA)</t>
  </si>
  <si>
    <t>PLAN AREA-SHADED REGION AREA (FOR THE LIMITS OUT SIDE OF GROUD IMPROVEMENT) (STA 201+62.08 TO STA. 202+02.72)</t>
  </si>
  <si>
    <t>PLAN AREA LIMITS OF WALL (BEHIND + FRONT) (STA 200+68.45 TO STA. 201+62.08)</t>
  </si>
  <si>
    <t>PANEL WALL AREA - PROP. GROUND TO BOT. OF COPING</t>
  </si>
  <si>
    <t>LENGTH OF EXPOSED COPING</t>
  </si>
  <si>
    <t>VOLUME (BEHIND WALL)</t>
  </si>
  <si>
    <t>ELEVATION AREA IN FRONT OF WALL (TOP OF FOOTING)</t>
  </si>
  <si>
    <t>FRONT OF LEVELING PAD ( 6 IN * 1 FT)</t>
  </si>
  <si>
    <t>AVG. WIDTH OF FILL (1.75 FT IN FRONT OF WALL FACE)</t>
  </si>
  <si>
    <t>EXCAVATION AREA AT FACE OF WALL (ELEVATION VIEW)</t>
  </si>
  <si>
    <t>AVERAGE C/S AREA MEASURED ALONG C/L I-70 W.B. ( MEASURED 89464_02E2BF001)</t>
  </si>
  <si>
    <t>PLAN AREA ( MEASURED AREA BETWEEN LIMITS OF GRANULAR MATERIAL B &amp; SGB)</t>
  </si>
  <si>
    <t>WIDTH OF C/S</t>
  </si>
  <si>
    <t>LENGTH OF EXCAVATION</t>
  </si>
  <si>
    <t>VOLUME MEASURED FROM AVG C/S ALONG I-70 W.B.</t>
  </si>
  <si>
    <t>METHOD 1</t>
  </si>
  <si>
    <t>METHOD 2</t>
  </si>
  <si>
    <t>TWO METHODS OF CALCULATING EXCAVATION AREA AT BACK OF WALL</t>
  </si>
  <si>
    <t>AVG DEPTH OF EXCAVATION ( AVG XSECTN AREA / WIDTH OF XSECTN)</t>
  </si>
  <si>
    <t>ROADWAY MISC.: COLUMN SUPPORTED WALLS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</si>
</sst>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0.0"/>
  </numFmts>
  <fonts count="18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trike/>
      <sz val="10"/>
      <name val="Arial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1"/>
      <color rgb="FF3F3F76"/>
      <name val="Calibri"/>
      <family val="2"/>
      <scheme val="minor"/>
    </font>
    <font>
      <strike/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</borders>
  <cellStyleXfs count="3">
    <xf numFmtId="0" fontId="0" fillId="0" borderId="0"/>
    <xf numFmtId="0" fontId="8" fillId="2" borderId="20" applyNumberFormat="0" applyAlignment="0" applyProtection="0"/>
    <xf numFmtId="0" fontId="2" fillId="3" borderId="21" applyNumberFormat="0" applyFont="0" applyAlignment="0" applyProtection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10" fillId="0" borderId="0" xfId="0" applyFont="1" applyFill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8" fillId="2" borderId="20" xfId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1" fontId="3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2" fontId="8" fillId="2" borderId="20" xfId="1" applyNumberFormat="1" applyAlignment="1">
      <alignment horizontal="center"/>
    </xf>
    <xf numFmtId="0" fontId="8" fillId="2" borderId="0" xfId="1" applyBorder="1" applyAlignment="1">
      <alignment horizontal="center"/>
    </xf>
    <xf numFmtId="1" fontId="2" fillId="4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3" borderId="21" xfId="2" applyFont="1" applyAlignment="1">
      <alignment horizontal="left"/>
    </xf>
    <xf numFmtId="0" fontId="11" fillId="2" borderId="20" xfId="1" applyFont="1" applyAlignment="1">
      <alignment horizontal="center"/>
    </xf>
    <xf numFmtId="0" fontId="8" fillId="2" borderId="20" xfId="1" applyFont="1" applyAlignment="1">
      <alignment horizontal="center"/>
    </xf>
    <xf numFmtId="0" fontId="7" fillId="4" borderId="0" xfId="0" applyFont="1" applyFill="1" applyAlignment="1">
      <alignment horizontal="center"/>
    </xf>
    <xf numFmtId="49" fontId="7" fillId="4" borderId="0" xfId="0" applyNumberFormat="1" applyFont="1" applyFill="1" applyBorder="1" applyAlignment="1">
      <alignment horizontal="left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8" fillId="5" borderId="20" xfId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8" fillId="6" borderId="20" xfId="1" applyFill="1" applyAlignment="1">
      <alignment horizontal="center"/>
    </xf>
    <xf numFmtId="0" fontId="2" fillId="5" borderId="0" xfId="0" applyFont="1" applyFill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4" borderId="0" xfId="0" applyNumberFormat="1" applyFill="1" applyAlignment="1">
      <alignment horizontal="left"/>
    </xf>
    <xf numFmtId="49" fontId="6" fillId="0" borderId="7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" fontId="3" fillId="0" borderId="7" xfId="0" applyNumberFormat="1" applyFont="1" applyBorder="1" applyAlignment="1">
      <alignment horizontal="center" vertical="center"/>
    </xf>
    <xf numFmtId="1" fontId="2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  <xf numFmtId="1" fontId="2" fillId="4" borderId="0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" fontId="2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left" vertical="center"/>
    </xf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horizontal="left"/>
    </xf>
    <xf numFmtId="0" fontId="8" fillId="7" borderId="20" xfId="1" applyFill="1" applyAlignment="1">
      <alignment horizontal="center"/>
    </xf>
    <xf numFmtId="0" fontId="0" fillId="7" borderId="0" xfId="0" applyFill="1" applyAlignment="1">
      <alignment horizontal="left"/>
    </xf>
    <xf numFmtId="0" fontId="13" fillId="7" borderId="20" xfId="1" applyFont="1" applyFill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4" fillId="7" borderId="20" xfId="1" applyFont="1" applyFill="1" applyAlignment="1">
      <alignment horizontal="center"/>
    </xf>
    <xf numFmtId="1" fontId="14" fillId="7" borderId="20" xfId="1" applyNumberFormat="1" applyFon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8" fillId="7" borderId="20" xfId="1" applyNumberFormat="1" applyFont="1" applyFill="1" applyAlignment="1">
      <alignment horizontal="center"/>
    </xf>
    <xf numFmtId="2" fontId="14" fillId="7" borderId="20" xfId="1" applyNumberFormat="1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5" fillId="7" borderId="0" xfId="0" applyFont="1" applyFill="1" applyAlignment="1">
      <alignment horizontal="left"/>
    </xf>
    <xf numFmtId="2" fontId="5" fillId="7" borderId="0" xfId="0" applyNumberFormat="1" applyFont="1" applyFill="1" applyAlignment="1">
      <alignment horizontal="center"/>
    </xf>
    <xf numFmtId="0" fontId="8" fillId="7" borderId="20" xfId="1" applyFont="1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2" fontId="11" fillId="7" borderId="20" xfId="1" applyNumberFormat="1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7" fillId="7" borderId="0" xfId="0" applyFont="1" applyFill="1" applyAlignment="1">
      <alignment horizontal="left"/>
    </xf>
    <xf numFmtId="0" fontId="17" fillId="7" borderId="20" xfId="1" applyFont="1" applyFill="1" applyAlignment="1">
      <alignment horizontal="center"/>
    </xf>
    <xf numFmtId="0" fontId="7" fillId="4" borderId="0" xfId="0" applyFont="1" applyFill="1" applyAlignment="1">
      <alignment horizontal="left"/>
    </xf>
    <xf numFmtId="0" fontId="8" fillId="7" borderId="0" xfId="1" applyFont="1" applyFill="1" applyBorder="1" applyAlignment="1">
      <alignment horizontal="center"/>
    </xf>
    <xf numFmtId="0" fontId="14" fillId="7" borderId="23" xfId="1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7" borderId="22" xfId="0" applyFont="1" applyFill="1" applyBorder="1" applyAlignment="1">
      <alignment horizontal="center" wrapText="1"/>
    </xf>
    <xf numFmtId="0" fontId="0" fillId="7" borderId="22" xfId="0" applyFill="1" applyBorder="1" applyAlignment="1">
      <alignment horizontal="center" wrapText="1"/>
    </xf>
    <xf numFmtId="0" fontId="0" fillId="7" borderId="0" xfId="0" applyFill="1" applyBorder="1" applyAlignment="1">
      <alignment horizontal="center" wrapText="1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</cellXfs>
  <cellStyles count="3">
    <cellStyle name="Input" xfId="1" builtinId="20"/>
    <cellStyle name="Normal" xfId="0" builtinId="0"/>
    <cellStyle name="Note" xfId="2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333375</xdr:colOff>
      <xdr:row>79</xdr:row>
      <xdr:rowOff>142875</xdr:rowOff>
    </xdr:to>
    <xdr:grpSp>
      <xdr:nvGrpSpPr>
        <xdr:cNvPr id="37359" name="InnerSheetBorder"/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37360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61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62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63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72</xdr:row>
      <xdr:rowOff>85725</xdr:rowOff>
    </xdr:to>
    <xdr:grpSp>
      <xdr:nvGrpSpPr>
        <xdr:cNvPr id="44527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4528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29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30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31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457200</xdr:colOff>
      <xdr:row>71</xdr:row>
      <xdr:rowOff>114300</xdr:rowOff>
    </xdr:to>
    <xdr:grpSp>
      <xdr:nvGrpSpPr>
        <xdr:cNvPr id="38383" name="InnerSheetBorder"/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38384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5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6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7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457200</xdr:colOff>
      <xdr:row>72</xdr:row>
      <xdr:rowOff>142875</xdr:rowOff>
    </xdr:to>
    <xdr:grpSp>
      <xdr:nvGrpSpPr>
        <xdr:cNvPr id="39407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39408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09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10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11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504825</xdr:colOff>
      <xdr:row>14</xdr:row>
      <xdr:rowOff>57150</xdr:rowOff>
    </xdr:from>
    <xdr:to>
      <xdr:col>13</xdr:col>
      <xdr:colOff>877082</xdr:colOff>
      <xdr:row>34</xdr:row>
      <xdr:rowOff>421</xdr:rowOff>
    </xdr:to>
    <xdr:pic>
      <xdr:nvPicPr>
        <xdr:cNvPr id="4" name="Picture 3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5675" y="2628900"/>
          <a:ext cx="5601482" cy="3019846"/>
        </a:xfrm>
        <a:prstGeom prst="rect">
          <a:avLst/>
        </a:prstGeom>
      </xdr:spPr>
    </xdr:pic>
    <xdr:clientData/>
  </xdr:twoCellAnchor>
  <xdr:twoCellAnchor>
    <xdr:from>
      <xdr:col>5</xdr:col>
      <xdr:colOff>3629025</xdr:colOff>
      <xdr:row>23</xdr:row>
      <xdr:rowOff>0</xdr:rowOff>
    </xdr:from>
    <xdr:to>
      <xdr:col>12</xdr:col>
      <xdr:colOff>47626</xdr:colOff>
      <xdr:row>37</xdr:row>
      <xdr:rowOff>95250</xdr:rowOff>
    </xdr:to>
    <xdr:cxnSp macro="">
      <xdr:nvCxnSpPr>
        <xdr:cNvPr id="6" name="Straight Arrow Connector 5"/>
        <xdr:cNvCxnSpPr/>
      </xdr:nvCxnSpPr>
      <xdr:spPr>
        <a:xfrm flipH="1">
          <a:off x="7219950" y="3867150"/>
          <a:ext cx="6981826" cy="22002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5581650</xdr:colOff>
      <xdr:row>26</xdr:row>
      <xdr:rowOff>114300</xdr:rowOff>
    </xdr:from>
    <xdr:to>
      <xdr:col>12</xdr:col>
      <xdr:colOff>1266825</xdr:colOff>
      <xdr:row>27</xdr:row>
      <xdr:rowOff>142875</xdr:rowOff>
    </xdr:to>
    <xdr:cxnSp macro="">
      <xdr:nvCxnSpPr>
        <xdr:cNvPr id="7" name="Straight Arrow Connector 6"/>
        <xdr:cNvCxnSpPr/>
      </xdr:nvCxnSpPr>
      <xdr:spPr>
        <a:xfrm flipH="1">
          <a:off x="9172575" y="4629150"/>
          <a:ext cx="62484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457200</xdr:colOff>
      <xdr:row>72</xdr:row>
      <xdr:rowOff>85725</xdr:rowOff>
    </xdr:to>
    <xdr:grpSp>
      <xdr:nvGrpSpPr>
        <xdr:cNvPr id="40431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0432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33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34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35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72</xdr:row>
      <xdr:rowOff>57150</xdr:rowOff>
    </xdr:to>
    <xdr:grpSp>
      <xdr:nvGrpSpPr>
        <xdr:cNvPr id="41455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1456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57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58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59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72</xdr:row>
      <xdr:rowOff>142875</xdr:rowOff>
    </xdr:to>
    <xdr:grpSp>
      <xdr:nvGrpSpPr>
        <xdr:cNvPr id="45308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5309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10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11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12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72</xdr:row>
      <xdr:rowOff>142875</xdr:rowOff>
    </xdr:to>
    <xdr:grpSp>
      <xdr:nvGrpSpPr>
        <xdr:cNvPr id="42479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2480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81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82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83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18</xdr:col>
      <xdr:colOff>276225</xdr:colOff>
      <xdr:row>73</xdr:row>
      <xdr:rowOff>38100</xdr:rowOff>
    </xdr:to>
    <xdr:grpSp>
      <xdr:nvGrpSpPr>
        <xdr:cNvPr id="43503" name="InnerSheetBorder"/>
        <xdr:cNvGrpSpPr>
          <a:grpSpLocks/>
        </xdr:cNvGrpSpPr>
      </xdr:nvGrpSpPr>
      <xdr:grpSpPr bwMode="auto">
        <a:xfrm>
          <a:off x="0" y="19050"/>
          <a:ext cx="17678400" cy="12144375"/>
          <a:chOff x="256" y="102"/>
          <a:chExt cx="1852" cy="1275"/>
        </a:xfrm>
      </xdr:grpSpPr>
      <xdr:sp macro="" textlink="">
        <xdr:nvSpPr>
          <xdr:cNvPr id="43504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05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06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07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80</v>
          </cell>
        </row>
        <row r="6">
          <cell r="C6">
            <v>103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27.666666666666668</v>
          </cell>
        </row>
        <row r="12">
          <cell r="C12">
            <v>48</v>
          </cell>
        </row>
        <row r="13">
          <cell r="C13">
            <v>596</v>
          </cell>
        </row>
        <row r="14">
          <cell r="C14">
            <v>286.08999999999997</v>
          </cell>
        </row>
        <row r="15">
          <cell r="C15">
            <v>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239</v>
          </cell>
        </row>
        <row r="6">
          <cell r="C6">
            <v>398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84</v>
          </cell>
        </row>
        <row r="12">
          <cell r="C12">
            <v>108</v>
          </cell>
        </row>
        <row r="13">
          <cell r="C13">
            <v>2234</v>
          </cell>
        </row>
        <row r="14">
          <cell r="C14">
            <v>505.07</v>
          </cell>
        </row>
        <row r="15">
          <cell r="C15">
            <v>453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2312</v>
          </cell>
        </row>
        <row r="6">
          <cell r="C6">
            <v>4745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994.44444444444446</v>
          </cell>
        </row>
        <row r="12">
          <cell r="C12">
            <v>668</v>
          </cell>
        </row>
        <row r="13">
          <cell r="C13">
            <v>13588.71</v>
          </cell>
        </row>
        <row r="14">
          <cell r="C14">
            <v>2</v>
          </cell>
        </row>
        <row r="16">
          <cell r="C16">
            <v>644</v>
          </cell>
        </row>
        <row r="17">
          <cell r="C17" t="str">
            <v>LUMP</v>
          </cell>
        </row>
        <row r="19">
          <cell r="C19">
            <v>49169</v>
          </cell>
        </row>
        <row r="20">
          <cell r="C20">
            <v>11</v>
          </cell>
        </row>
        <row r="21">
          <cell r="C21">
            <v>266</v>
          </cell>
        </row>
        <row r="22">
          <cell r="C22">
            <v>243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Normal="100" workbookViewId="0">
      <selection sqref="A1:F25"/>
    </sheetView>
  </sheetViews>
  <sheetFormatPr defaultRowHeight="12.75" x14ac:dyDescent="0.2"/>
  <cols>
    <col min="1" max="2" width="13.85546875" bestFit="1" customWidth="1"/>
    <col min="3" max="3" width="8.85546875" bestFit="1" customWidth="1"/>
    <col min="4" max="4" width="7.140625" bestFit="1" customWidth="1"/>
    <col min="5" max="5" width="88.85546875" bestFit="1" customWidth="1"/>
    <col min="6" max="6" width="18.5703125" bestFit="1" customWidth="1"/>
    <col min="7" max="7" width="8.85546875" customWidth="1"/>
    <col min="12" max="14" width="9" customWidth="1"/>
  </cols>
  <sheetData>
    <row r="1" spans="1:6" ht="12.75" customHeight="1" x14ac:dyDescent="0.2">
      <c r="A1" s="147" t="s">
        <v>29</v>
      </c>
      <c r="B1" s="148"/>
      <c r="C1" s="148"/>
      <c r="D1" s="148"/>
      <c r="E1" s="149"/>
      <c r="F1" s="140" t="s">
        <v>30</v>
      </c>
    </row>
    <row r="2" spans="1:6" ht="12.75" customHeight="1" thickBot="1" x14ac:dyDescent="0.25">
      <c r="A2" s="150"/>
      <c r="B2" s="151"/>
      <c r="C2" s="151"/>
      <c r="D2" s="151"/>
      <c r="E2" s="152"/>
      <c r="F2" s="141"/>
    </row>
    <row r="3" spans="1:6" ht="12.75" customHeight="1" x14ac:dyDescent="0.2">
      <c r="A3" s="143" t="s">
        <v>0</v>
      </c>
      <c r="B3" s="145" t="s">
        <v>4</v>
      </c>
      <c r="C3" s="145" t="s">
        <v>1</v>
      </c>
      <c r="D3" s="145" t="s">
        <v>2</v>
      </c>
      <c r="E3" s="143" t="s">
        <v>3</v>
      </c>
      <c r="F3" s="141"/>
    </row>
    <row r="4" spans="1:6" ht="13.5" thickBot="1" x14ac:dyDescent="0.25">
      <c r="A4" s="144"/>
      <c r="B4" s="146"/>
      <c r="C4" s="146"/>
      <c r="D4" s="146"/>
      <c r="E4" s="144"/>
      <c r="F4" s="142"/>
    </row>
    <row r="5" spans="1:6" x14ac:dyDescent="0.2">
      <c r="A5" s="7">
        <f>E2_QUANT!B5</f>
        <v>203</v>
      </c>
      <c r="B5" s="7">
        <f>E2_QUANT!C5</f>
        <v>20000</v>
      </c>
      <c r="C5" s="7">
        <f>E2_QUANT!D5</f>
        <v>261</v>
      </c>
      <c r="D5" s="7" t="str">
        <f>E2_QUANT!E5</f>
        <v>CU YD</v>
      </c>
      <c r="E5" s="113" t="str">
        <f>E2_QUANT!F5</f>
        <v>EMBANKMENT</v>
      </c>
      <c r="F5" s="7"/>
    </row>
    <row r="6" spans="1:6" x14ac:dyDescent="0.2">
      <c r="A6" s="7">
        <f>E2_QUANT!B6</f>
        <v>203</v>
      </c>
      <c r="B6" s="7">
        <f>E2_QUANT!C6</f>
        <v>35110</v>
      </c>
      <c r="C6" s="7">
        <f>E2_QUANT!D6</f>
        <v>1112</v>
      </c>
      <c r="D6" s="7" t="str">
        <f>E2_QUANT!E6</f>
        <v>CU YD</v>
      </c>
      <c r="E6" s="113" t="str">
        <f>E2_QUANT!F6</f>
        <v>GRANULAR MATERIAL, TYPE B</v>
      </c>
      <c r="F6" s="7"/>
    </row>
    <row r="7" spans="1:6" x14ac:dyDescent="0.2">
      <c r="A7" s="7">
        <f>E2_QUANT!B7</f>
        <v>203</v>
      </c>
      <c r="B7" s="7">
        <f>E2_QUANT!C7</f>
        <v>65000</v>
      </c>
      <c r="C7" s="7">
        <f>E2_QUANT!D7</f>
        <v>2</v>
      </c>
      <c r="D7" s="7" t="str">
        <f>E2_QUANT!E7</f>
        <v>EACH</v>
      </c>
      <c r="E7" s="113" t="str">
        <f>E2_QUANT!F7</f>
        <v>SPECIAL - SETTLEMENT PLATFORM</v>
      </c>
      <c r="F7" s="7"/>
    </row>
    <row r="8" spans="1:6" x14ac:dyDescent="0.2">
      <c r="A8" s="7">
        <f>E2_QUANT!B8</f>
        <v>203</v>
      </c>
      <c r="B8" s="7">
        <f>E2_QUANT!C8</f>
        <v>98100</v>
      </c>
      <c r="C8" s="7">
        <f>E2_QUANT!D8</f>
        <v>272.55555555555554</v>
      </c>
      <c r="D8" s="7" t="str">
        <f>E2_QUANT!E8</f>
        <v>SQ YD</v>
      </c>
      <c r="E8" s="113" t="str">
        <f>E2_QUANT!F8</f>
        <v>ROADWAY MISC.: COLUMN SUPPORTED WALLS</v>
      </c>
      <c r="F8" s="7"/>
    </row>
    <row r="9" spans="1:6" x14ac:dyDescent="0.2">
      <c r="A9" s="7"/>
      <c r="B9" s="7"/>
      <c r="C9" s="7"/>
      <c r="D9" s="7"/>
      <c r="E9" s="113"/>
      <c r="F9" s="7"/>
    </row>
    <row r="10" spans="1:6" x14ac:dyDescent="0.2">
      <c r="A10" s="7">
        <f>E2_QUANT!B10</f>
        <v>503</v>
      </c>
      <c r="B10" s="7">
        <f>E2_QUANT!C10</f>
        <v>11101</v>
      </c>
      <c r="C10" s="7" t="str">
        <f>E2_QUANT!D10</f>
        <v>LS</v>
      </c>
      <c r="D10" s="7" t="str">
        <f>E2_QUANT!E10</f>
        <v>LS</v>
      </c>
      <c r="E10" s="113" t="str">
        <f>E2_QUANT!F10</f>
        <v>COFFERDAMS AND EXCAVATION BRACING, AS PER PLAN</v>
      </c>
      <c r="F10" s="7"/>
    </row>
    <row r="11" spans="1:6" x14ac:dyDescent="0.2">
      <c r="A11" s="7">
        <f>E2_QUANT!B11</f>
        <v>512</v>
      </c>
      <c r="B11" s="7">
        <f>E2_QUANT!C11</f>
        <v>10001</v>
      </c>
      <c r="C11" s="7">
        <f>E2_QUANT!D11</f>
        <v>129</v>
      </c>
      <c r="D11" s="7" t="str">
        <f>E2_QUANT!E11</f>
        <v>SQ YD</v>
      </c>
      <c r="E11" s="113" t="str">
        <f>E2_QUANT!F11</f>
        <v>SEALING OF CONCRETE SURFACES, AS PER PLAN (PERMANENT GRAFFITI PROTECTION)</v>
      </c>
      <c r="F11" s="7"/>
    </row>
    <row r="12" spans="1:6" x14ac:dyDescent="0.2">
      <c r="A12" s="7">
        <f>E2_QUANT!B12</f>
        <v>512</v>
      </c>
      <c r="B12" s="7">
        <f>E2_QUANT!C12</f>
        <v>10100</v>
      </c>
      <c r="C12" s="7">
        <f>E2_QUANT!D12</f>
        <v>168</v>
      </c>
      <c r="D12" s="7" t="str">
        <f>E2_QUANT!E12</f>
        <v>SQ YD</v>
      </c>
      <c r="E12" s="113" t="str">
        <f>E2_QUANT!F12</f>
        <v>SEALING OF CONCRETE SURFACES (EPOXY URETHANE)</v>
      </c>
      <c r="F12" s="7"/>
    </row>
    <row r="13" spans="1:6" x14ac:dyDescent="0.2">
      <c r="A13" s="7">
        <f>E2_QUANT!B13</f>
        <v>516</v>
      </c>
      <c r="B13" s="7">
        <f>E2_QUANT!C13</f>
        <v>13200</v>
      </c>
      <c r="C13" s="7">
        <f>E2_QUANT!D13</f>
        <v>120.96</v>
      </c>
      <c r="D13" s="7" t="str">
        <f>E2_QUANT!E13</f>
        <v>SQ FT</v>
      </c>
      <c r="E13" s="113" t="str">
        <f>E2_QUANT!F13</f>
        <v>1/2" PREFORMED EXPANSION JOINT FILLER</v>
      </c>
      <c r="F13" s="7"/>
    </row>
    <row r="14" spans="1:6" x14ac:dyDescent="0.2">
      <c r="A14" s="7"/>
      <c r="B14" s="7"/>
      <c r="C14" s="7"/>
      <c r="D14" s="7"/>
      <c r="E14" s="113"/>
      <c r="F14" s="7"/>
    </row>
    <row r="15" spans="1:6" x14ac:dyDescent="0.2">
      <c r="A15" s="7">
        <f>E2_QUANT!B15</f>
        <v>840</v>
      </c>
      <c r="B15" s="7">
        <f>E2_QUANT!C15</f>
        <v>20001</v>
      </c>
      <c r="C15" s="7">
        <f>E2_QUANT!D15</f>
        <v>2115</v>
      </c>
      <c r="D15" s="7" t="str">
        <f>E2_QUANT!E15</f>
        <v>SQ FT</v>
      </c>
      <c r="E15" s="113" t="str">
        <f>E2_QUANT!F15</f>
        <v>MECHANICALLY STABILIZED EARTH WALL, AS PER PLAN</v>
      </c>
      <c r="F15" s="7"/>
    </row>
    <row r="16" spans="1:6" ht="12.75" customHeight="1" x14ac:dyDescent="0.2">
      <c r="A16" s="7">
        <f>E2_QUANT!B16</f>
        <v>840</v>
      </c>
      <c r="B16" s="7">
        <f>E2_QUANT!C16</f>
        <v>21000</v>
      </c>
      <c r="C16" s="7">
        <f>E2_QUANT!D16</f>
        <v>298</v>
      </c>
      <c r="D16" s="7" t="str">
        <f>E2_QUANT!E16</f>
        <v>CU YD</v>
      </c>
      <c r="E16" s="113" t="str">
        <f>E2_QUANT!F16</f>
        <v>WALL EXCAVATION</v>
      </c>
      <c r="F16" s="7"/>
    </row>
    <row r="17" spans="1:6" x14ac:dyDescent="0.2">
      <c r="A17" s="7">
        <f>E2_QUANT!B17</f>
        <v>840</v>
      </c>
      <c r="B17" s="7">
        <f>E2_QUANT!C17</f>
        <v>22000</v>
      </c>
      <c r="C17" s="7">
        <f>E2_QUANT!D17</f>
        <v>368</v>
      </c>
      <c r="D17" s="7" t="str">
        <f>E2_QUANT!E17</f>
        <v>SQ YD</v>
      </c>
      <c r="E17" s="113" t="str">
        <f>E2_QUANT!F17</f>
        <v>FOUNDATION PREPARATION</v>
      </c>
      <c r="F17" s="7"/>
    </row>
    <row r="18" spans="1:6" x14ac:dyDescent="0.2">
      <c r="A18" s="7">
        <f>E2_QUANT!B18</f>
        <v>840</v>
      </c>
      <c r="B18" s="7">
        <f>E2_QUANT!C18</f>
        <v>23000</v>
      </c>
      <c r="C18" s="7">
        <f>E2_QUANT!D18</f>
        <v>1851</v>
      </c>
      <c r="D18" s="7" t="str">
        <f>E2_QUANT!E18</f>
        <v>CU YD</v>
      </c>
      <c r="E18" s="113" t="str">
        <f>E2_QUANT!F18</f>
        <v>SELECT GRANULAR BACKFILL</v>
      </c>
      <c r="F18" s="7"/>
    </row>
    <row r="19" spans="1:6" x14ac:dyDescent="0.2">
      <c r="A19" s="7">
        <f>E2_QUANT!B19</f>
        <v>840</v>
      </c>
      <c r="B19" s="7">
        <f>E2_QUANT!C19</f>
        <v>25010</v>
      </c>
      <c r="C19" s="7">
        <f>E2_QUANT!D19</f>
        <v>312</v>
      </c>
      <c r="D19" s="7" t="str">
        <f>E2_QUANT!E19</f>
        <v>FT</v>
      </c>
      <c r="E19" s="113" t="str">
        <f>E2_QUANT!F19</f>
        <v>6" DRAINAGE PIPE, PERFORATED</v>
      </c>
      <c r="F19" s="7"/>
    </row>
    <row r="20" spans="1:6" ht="12.75" customHeight="1" x14ac:dyDescent="0.2">
      <c r="A20" s="7"/>
      <c r="B20" s="7"/>
      <c r="C20" s="7"/>
      <c r="D20" s="7"/>
      <c r="E20" s="113"/>
      <c r="F20" s="7"/>
    </row>
    <row r="21" spans="1:6" ht="12.75" customHeight="1" x14ac:dyDescent="0.2">
      <c r="A21" s="7">
        <f>E2_QUANT!B21</f>
        <v>840</v>
      </c>
      <c r="B21" s="7">
        <f>E2_QUANT!C21</f>
        <v>26000</v>
      </c>
      <c r="C21" s="7">
        <f>E2_QUANT!D21</f>
        <v>134.5</v>
      </c>
      <c r="D21" s="7" t="str">
        <f>E2_QUANT!E21</f>
        <v>FT</v>
      </c>
      <c r="E21" s="113" t="str">
        <f>E2_QUANT!F21</f>
        <v>CONCRETE COPING</v>
      </c>
      <c r="F21" s="7"/>
    </row>
    <row r="22" spans="1:6" ht="12.75" customHeight="1" x14ac:dyDescent="0.2">
      <c r="A22" s="7">
        <f>E2_QUANT!B22</f>
        <v>840</v>
      </c>
      <c r="B22" s="7">
        <f>E2_QUANT!C22</f>
        <v>26050</v>
      </c>
      <c r="C22" s="7">
        <f>E2_QUANT!D22</f>
        <v>1846</v>
      </c>
      <c r="D22" s="7" t="str">
        <f>E2_QUANT!E22</f>
        <v>SQ FT</v>
      </c>
      <c r="E22" s="113" t="str">
        <f>E2_QUANT!F22</f>
        <v>AESTHETIC SURFACE TREATMENT</v>
      </c>
      <c r="F22" s="7"/>
    </row>
    <row r="23" spans="1:6" ht="12.75" customHeight="1" x14ac:dyDescent="0.2">
      <c r="A23" s="7">
        <f>E2_QUANT!B23</f>
        <v>840</v>
      </c>
      <c r="B23" s="7">
        <f>E2_QUANT!C23</f>
        <v>27000</v>
      </c>
      <c r="C23" s="7">
        <f>E2_QUANT!D23</f>
        <v>5</v>
      </c>
      <c r="D23" s="7" t="str">
        <f>E2_QUANT!E23</f>
        <v>DAY</v>
      </c>
      <c r="E23" s="113" t="str">
        <f>E2_QUANT!F23</f>
        <v>ON-SITE ASSISTANCE</v>
      </c>
      <c r="F23" s="7"/>
    </row>
    <row r="24" spans="1:6" ht="12.75" hidden="1" customHeight="1" x14ac:dyDescent="0.2">
      <c r="A24" s="7">
        <f>E2_QUANT!B24</f>
        <v>840</v>
      </c>
      <c r="B24" s="7">
        <f>E2_QUANT!C24</f>
        <v>28000</v>
      </c>
      <c r="C24" s="7" t="str">
        <f>E2_QUANT!D24</f>
        <v>LS</v>
      </c>
      <c r="D24" s="7" t="str">
        <f>E2_QUANT!E24</f>
        <v>LS</v>
      </c>
      <c r="E24" s="113" t="str">
        <f>E2_QUANT!F24</f>
        <v>SGB INSPECTION AND COMPACTION TESTING</v>
      </c>
      <c r="F24" s="7"/>
    </row>
    <row r="25" spans="1:6" ht="12.75" customHeight="1" thickBot="1" x14ac:dyDescent="0.25">
      <c r="A25" s="114"/>
      <c r="B25" s="114"/>
      <c r="C25" s="114"/>
      <c r="D25" s="114"/>
      <c r="E25" s="115"/>
      <c r="F25" s="39"/>
    </row>
    <row r="26" spans="1:6" ht="12.75" hidden="1" customHeight="1" x14ac:dyDescent="0.2">
      <c r="A26" s="37"/>
      <c r="B26" s="7"/>
      <c r="C26" s="7"/>
      <c r="D26" s="51"/>
      <c r="E26" s="113">
        <f>E2_QUANT!F27</f>
        <v>0</v>
      </c>
      <c r="F26" s="97"/>
    </row>
    <row r="27" spans="1:6" ht="12.75" hidden="1" customHeight="1" x14ac:dyDescent="0.2">
      <c r="A27" s="38">
        <v>867</v>
      </c>
      <c r="B27" s="83">
        <v>100</v>
      </c>
      <c r="C27" s="4" t="e">
        <f>SUM(#REF!)</f>
        <v>#REF!</v>
      </c>
      <c r="D27" s="54" t="s">
        <v>84</v>
      </c>
      <c r="E27" s="113" t="str">
        <f>E2_QUANT!F28</f>
        <v>EMBANKMENT</v>
      </c>
      <c r="F27" s="82"/>
    </row>
    <row r="28" spans="1:6" ht="12.75" hidden="1" customHeight="1" x14ac:dyDescent="0.2">
      <c r="A28" s="37">
        <v>867</v>
      </c>
      <c r="B28" s="84">
        <v>101</v>
      </c>
      <c r="C28" s="7" t="e">
        <f>SUM(#REF!)</f>
        <v>#REF!</v>
      </c>
      <c r="D28" s="51" t="s">
        <v>84</v>
      </c>
      <c r="E28" s="113">
        <f>E2_QUANT!F29</f>
        <v>0</v>
      </c>
      <c r="F28" s="82"/>
    </row>
    <row r="29" spans="1:6" ht="13.5" hidden="1" thickBot="1" x14ac:dyDescent="0.25">
      <c r="A29" s="40" t="str">
        <f>IF(VOID!E22=0, "", VOID!E22)</f>
        <v/>
      </c>
      <c r="B29" s="39" t="str">
        <f>IF(VOID!F22=0, "", VOID!F22)</f>
        <v/>
      </c>
      <c r="C29" s="39" t="str">
        <f>IF(VOID!G22=0, "", VOID!G22)</f>
        <v/>
      </c>
      <c r="D29" s="41" t="str">
        <f>IF(VOID!H22=0, "", VOID!H22)</f>
        <v/>
      </c>
      <c r="E29" s="113" t="e">
        <f>E2_QUANT!#REF!</f>
        <v>#REF!</v>
      </c>
      <c r="F29" s="39" t="str">
        <f>IF(VOID!J22=0, "", VOID!J22)</f>
        <v/>
      </c>
    </row>
    <row r="32" spans="1:6" ht="12.75" customHeight="1" x14ac:dyDescent="0.2"/>
    <row r="33" ht="13.5" customHeight="1" x14ac:dyDescent="0.2"/>
  </sheetData>
  <mergeCells count="7">
    <mergeCell ref="F1:F4"/>
    <mergeCell ref="A3:A4"/>
    <mergeCell ref="D3:D4"/>
    <mergeCell ref="B3:B4"/>
    <mergeCell ref="C3:C4"/>
    <mergeCell ref="E3:E4"/>
    <mergeCell ref="A1:E2"/>
  </mergeCells>
  <phoneticPr fontId="0" type="noConversion"/>
  <pageMargins left="0.75" right="0.75" top="1" bottom="1" header="0.5" footer="0.5"/>
  <pageSetup paperSize="17" orientation="landscape" r:id="rId1"/>
  <headerFooter alignWithMargins="0"/>
  <ignoredErrors>
    <ignoredError sqref="C27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topLeftCell="A89" zoomScale="140" zoomScaleNormal="14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2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66</v>
      </c>
      <c r="E3" s="145" t="s">
        <v>2</v>
      </c>
      <c r="F3" s="161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62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92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0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5466</v>
      </c>
      <c r="E7" s="51" t="s">
        <v>6</v>
      </c>
      <c r="F7" s="50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C47</f>
        <v>1367</v>
      </c>
      <c r="E8" s="51" t="s">
        <v>6</v>
      </c>
      <c r="F8" s="50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f>C57</f>
        <v>0</v>
      </c>
      <c r="E9" s="51" t="s">
        <v>6</v>
      </c>
      <c r="F9" s="50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>
        <f>C61</f>
        <v>0</v>
      </c>
      <c r="E10" s="51" t="s">
        <v>6</v>
      </c>
      <c r="F10" s="50" t="s">
        <v>197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0" t="s">
        <v>90</v>
      </c>
      <c r="G11" s="43"/>
    </row>
    <row r="12" spans="1:7" x14ac:dyDescent="0.2">
      <c r="A12" s="7"/>
      <c r="B12" s="37"/>
      <c r="C12" s="7"/>
      <c r="D12" s="7"/>
      <c r="E12" s="8"/>
      <c r="F12" s="50"/>
      <c r="G12" s="43"/>
    </row>
    <row r="13" spans="1:7" x14ac:dyDescent="0.2">
      <c r="A13" s="7"/>
      <c r="B13" s="52" t="s">
        <v>7</v>
      </c>
      <c r="C13" s="7">
        <v>20365000</v>
      </c>
      <c r="D13" s="7">
        <f>C53</f>
        <v>0</v>
      </c>
      <c r="E13" s="51" t="s">
        <v>37</v>
      </c>
      <c r="F13" s="50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>
        <f>C65</f>
        <v>11269</v>
      </c>
      <c r="E14" s="5" t="str">
        <f>IF(VOID!H5=0, "", VOID!H5)</f>
        <v>CU YD</v>
      </c>
      <c r="F14" s="6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3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3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3" t="s">
        <v>93</v>
      </c>
      <c r="G17" s="44"/>
    </row>
    <row r="18" spans="1:7" x14ac:dyDescent="0.2">
      <c r="A18" s="7"/>
      <c r="B18" s="38"/>
      <c r="C18" s="4"/>
      <c r="D18" s="4"/>
      <c r="E18" s="54"/>
      <c r="F18" s="53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f>C82</f>
        <v>2112</v>
      </c>
      <c r="E19" s="54" t="s">
        <v>9</v>
      </c>
      <c r="F19" s="53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C95</f>
        <v>5522</v>
      </c>
      <c r="E20" s="5" t="str">
        <f>IF(VOID!H7=0, "", VOID!H7)</f>
        <v>SQ YD</v>
      </c>
      <c r="F20" s="53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3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3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C111</f>
        <v>43234</v>
      </c>
      <c r="E23" s="54" t="s">
        <v>11</v>
      </c>
      <c r="F23" s="53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3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C115</f>
        <v>5968</v>
      </c>
      <c r="E25" s="54" t="s">
        <v>6</v>
      </c>
      <c r="F25" s="53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C125</f>
        <v>0</v>
      </c>
      <c r="E26" s="54" t="s">
        <v>9</v>
      </c>
      <c r="F26" s="53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C130</f>
        <v>30481</v>
      </c>
      <c r="E27" s="54" t="s">
        <v>6</v>
      </c>
      <c r="F27" s="53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3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C141</f>
        <v>1964</v>
      </c>
      <c r="E29" s="54" t="s">
        <v>10</v>
      </c>
      <c r="F29" s="53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3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C148</f>
        <v>0</v>
      </c>
      <c r="E31" s="54" t="s">
        <v>10</v>
      </c>
      <c r="F31" s="53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C152</f>
        <v>1939</v>
      </c>
      <c r="E32" s="54" t="s">
        <v>10</v>
      </c>
      <c r="F32" s="53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C156</f>
        <v>43234</v>
      </c>
      <c r="E33" s="54" t="s">
        <v>11</v>
      </c>
      <c r="F33" s="53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3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3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2" t="str">
        <f>IF(VOID!I22=0, "", VOID!I22)</f>
        <v/>
      </c>
      <c r="G36" s="39" t="str">
        <f>IF(VOID!J22=0, "", VOID!J22)</f>
        <v/>
      </c>
    </row>
    <row r="39" spans="1:7" x14ac:dyDescent="0.2">
      <c r="A39" s="61">
        <v>203</v>
      </c>
      <c r="B39" s="61">
        <v>35110</v>
      </c>
      <c r="C39" s="61">
        <f>ROUNDUP(C44/27,)</f>
        <v>5466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85">
        <v>36892</v>
      </c>
      <c r="D41" s="47" t="s">
        <v>11</v>
      </c>
      <c r="F41" s="46" t="s">
        <v>224</v>
      </c>
    </row>
    <row r="42" spans="1:7" ht="15" x14ac:dyDescent="0.25">
      <c r="A42" s="24"/>
      <c r="B42" s="24"/>
      <c r="C42" s="64">
        <v>4</v>
      </c>
      <c r="D42" s="47" t="s">
        <v>10</v>
      </c>
      <c r="F42" s="46" t="s">
        <v>97</v>
      </c>
    </row>
    <row r="43" spans="1:7" x14ac:dyDescent="0.2">
      <c r="A43" s="24"/>
      <c r="B43" s="24"/>
      <c r="C43"/>
      <c r="D43" s="47"/>
      <c r="F43" s="46"/>
    </row>
    <row r="44" spans="1:7" x14ac:dyDescent="0.2">
      <c r="A44" s="24"/>
      <c r="B44" s="24"/>
      <c r="C44" s="1">
        <f>C42*C41</f>
        <v>147568</v>
      </c>
      <c r="D44" s="47" t="s">
        <v>98</v>
      </c>
      <c r="F44" s="46" t="s">
        <v>99</v>
      </c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24"/>
      <c r="B46" s="24"/>
      <c r="C46" s="24"/>
      <c r="D46" s="24"/>
      <c r="E46" s="24"/>
      <c r="F46" s="26"/>
    </row>
    <row r="47" spans="1:7" x14ac:dyDescent="0.2">
      <c r="A47" s="61">
        <v>203</v>
      </c>
      <c r="B47" s="61">
        <v>35120</v>
      </c>
      <c r="C47" s="61">
        <f>ROUNDUP(C51/27,)</f>
        <v>1367</v>
      </c>
      <c r="D47" s="62" t="s">
        <v>6</v>
      </c>
      <c r="E47" s="61"/>
      <c r="F47" s="67" t="s">
        <v>95</v>
      </c>
    </row>
    <row r="49" spans="1:6" ht="15" x14ac:dyDescent="0.25">
      <c r="C49" s="85">
        <v>36892</v>
      </c>
      <c r="D49" s="47" t="s">
        <v>11</v>
      </c>
      <c r="F49" s="46" t="s">
        <v>224</v>
      </c>
    </row>
    <row r="50" spans="1:6" ht="15" x14ac:dyDescent="0.25">
      <c r="C50" s="85">
        <v>1</v>
      </c>
      <c r="D50" s="47" t="s">
        <v>10</v>
      </c>
      <c r="F50" s="46" t="s">
        <v>97</v>
      </c>
    </row>
    <row r="51" spans="1:6" x14ac:dyDescent="0.2">
      <c r="C51" s="86">
        <f>C50*C49</f>
        <v>36892</v>
      </c>
      <c r="D51" s="47" t="s">
        <v>98</v>
      </c>
      <c r="F51" s="46" t="s">
        <v>99</v>
      </c>
    </row>
    <row r="52" spans="1:6" x14ac:dyDescent="0.2">
      <c r="D52" s="47"/>
      <c r="F52" s="46"/>
    </row>
    <row r="53" spans="1:6" x14ac:dyDescent="0.2">
      <c r="A53" s="74" t="s">
        <v>7</v>
      </c>
      <c r="B53" s="70">
        <v>20365000</v>
      </c>
      <c r="C53" s="70">
        <f>C55</f>
        <v>0</v>
      </c>
      <c r="D53" s="66" t="s">
        <v>37</v>
      </c>
      <c r="E53" s="71"/>
      <c r="F53" s="58" t="s">
        <v>71</v>
      </c>
    </row>
    <row r="54" spans="1:6" x14ac:dyDescent="0.2">
      <c r="D54" s="47"/>
      <c r="F54" s="46"/>
    </row>
    <row r="55" spans="1:6" ht="15" x14ac:dyDescent="0.25">
      <c r="C55" s="64">
        <v>0</v>
      </c>
      <c r="D55" s="47" t="s">
        <v>37</v>
      </c>
      <c r="F55" s="46" t="s">
        <v>192</v>
      </c>
    </row>
    <row r="56" spans="1:6" x14ac:dyDescent="0.2">
      <c r="D56" s="47"/>
      <c r="F56" s="46"/>
    </row>
    <row r="57" spans="1:6" x14ac:dyDescent="0.2">
      <c r="A57" s="70">
        <v>203</v>
      </c>
      <c r="B57" s="70">
        <v>98000</v>
      </c>
      <c r="C57" s="70">
        <f>ROUNDUP(C59/27,)</f>
        <v>0</v>
      </c>
      <c r="D57" s="66" t="s">
        <v>6</v>
      </c>
      <c r="E57" s="71"/>
      <c r="F57" s="58" t="s">
        <v>89</v>
      </c>
    </row>
    <row r="58" spans="1:6" x14ac:dyDescent="0.2">
      <c r="D58" s="47"/>
      <c r="F58" s="46"/>
    </row>
    <row r="59" spans="1:6" x14ac:dyDescent="0.2">
      <c r="C59" s="1">
        <v>0</v>
      </c>
      <c r="D59" s="47" t="s">
        <v>98</v>
      </c>
      <c r="F59" s="46" t="s">
        <v>196</v>
      </c>
    </row>
    <row r="60" spans="1:6" x14ac:dyDescent="0.2">
      <c r="D60" s="47"/>
      <c r="F60" s="46"/>
    </row>
    <row r="61" spans="1:6" x14ac:dyDescent="0.2">
      <c r="A61" s="70">
        <v>203</v>
      </c>
      <c r="B61" s="70">
        <v>98000</v>
      </c>
      <c r="C61" s="70">
        <f>ROUNDUP(C63/27,)</f>
        <v>0</v>
      </c>
      <c r="D61" s="66" t="s">
        <v>6</v>
      </c>
      <c r="E61" s="71"/>
      <c r="F61" s="58" t="s">
        <v>197</v>
      </c>
    </row>
    <row r="62" spans="1:6" x14ac:dyDescent="0.2">
      <c r="D62" s="47"/>
      <c r="F62" s="46"/>
    </row>
    <row r="63" spans="1:6" x14ac:dyDescent="0.2">
      <c r="C63" s="9">
        <v>0</v>
      </c>
      <c r="D63" s="47" t="s">
        <v>98</v>
      </c>
      <c r="F63" s="46" t="s">
        <v>199</v>
      </c>
    </row>
    <row r="65" spans="1:6" x14ac:dyDescent="0.2">
      <c r="A65" s="90">
        <f>B14</f>
        <v>511</v>
      </c>
      <c r="B65" s="90" t="str">
        <f>C14</f>
        <v>46011</v>
      </c>
      <c r="C65" s="90">
        <f>C73</f>
        <v>11269</v>
      </c>
      <c r="D65" s="90" t="str">
        <f>E14</f>
        <v>CU YD</v>
      </c>
      <c r="E65" s="90"/>
      <c r="F65" s="91" t="str">
        <f>F14</f>
        <v>CLASS QC1 CONCRETE, AS PER PLAN</v>
      </c>
    </row>
    <row r="66" spans="1:6" x14ac:dyDescent="0.2">
      <c r="A66" s="47"/>
      <c r="B66" s="47"/>
      <c r="C66" s="47">
        <v>14.41</v>
      </c>
      <c r="D66" s="47" t="s">
        <v>272</v>
      </c>
      <c r="E66" s="47"/>
      <c r="F66" s="46" t="s">
        <v>271</v>
      </c>
    </row>
    <row r="67" spans="1:6" x14ac:dyDescent="0.2">
      <c r="A67" s="47"/>
      <c r="B67" s="47"/>
      <c r="C67" s="47">
        <f>21108.35-(C69+C71)</f>
        <v>21078.35</v>
      </c>
      <c r="D67" s="47" t="s">
        <v>273</v>
      </c>
      <c r="E67" s="47"/>
      <c r="F67" s="46" t="s">
        <v>274</v>
      </c>
    </row>
    <row r="68" spans="1:6" x14ac:dyDescent="0.2">
      <c r="A68" s="47"/>
      <c r="B68" s="47"/>
      <c r="C68" s="47">
        <v>20.46</v>
      </c>
      <c r="D68" s="47" t="s">
        <v>272</v>
      </c>
      <c r="E68" s="47"/>
      <c r="F68" s="46" t="s">
        <v>276</v>
      </c>
    </row>
    <row r="69" spans="1:6" x14ac:dyDescent="0.2">
      <c r="A69" s="47"/>
      <c r="B69" s="47"/>
      <c r="C69" s="47">
        <f>6.58+(1.42/2)</f>
        <v>7.29</v>
      </c>
      <c r="D69" s="47" t="s">
        <v>273</v>
      </c>
      <c r="E69" s="47"/>
      <c r="F69" s="46" t="s">
        <v>274</v>
      </c>
    </row>
    <row r="70" spans="1:6" x14ac:dyDescent="0.2">
      <c r="A70" s="47"/>
      <c r="B70" s="47"/>
      <c r="C70" s="47">
        <v>15.72</v>
      </c>
      <c r="D70" s="47" t="s">
        <v>275</v>
      </c>
      <c r="E70" s="47"/>
      <c r="F70" s="46" t="s">
        <v>277</v>
      </c>
    </row>
    <row r="71" spans="1:6" x14ac:dyDescent="0.2">
      <c r="A71" s="47"/>
      <c r="B71" s="47"/>
      <c r="C71" s="47">
        <f>30-C69</f>
        <v>22.71</v>
      </c>
      <c r="D71" s="47" t="s">
        <v>273</v>
      </c>
      <c r="E71" s="47"/>
      <c r="F71" s="46" t="s">
        <v>274</v>
      </c>
    </row>
    <row r="72" spans="1:6" x14ac:dyDescent="0.2">
      <c r="A72" s="47"/>
      <c r="B72" s="47"/>
      <c r="C72" s="47">
        <f>(C66*C67)+(C68*C69)+(C70*C71)</f>
        <v>304245.17810000002</v>
      </c>
      <c r="D72" s="47" t="s">
        <v>270</v>
      </c>
      <c r="E72" s="47"/>
      <c r="F72" s="46" t="s">
        <v>278</v>
      </c>
    </row>
    <row r="73" spans="1:6" x14ac:dyDescent="0.2">
      <c r="A73" s="47"/>
      <c r="B73" s="47"/>
      <c r="C73" s="47">
        <f>ROUNDUP(C72/27,0)</f>
        <v>11269</v>
      </c>
      <c r="D73" s="47" t="s">
        <v>279</v>
      </c>
      <c r="E73" s="47"/>
      <c r="F73" s="46"/>
    </row>
    <row r="74" spans="1:6" x14ac:dyDescent="0.2">
      <c r="A74" s="61">
        <v>511</v>
      </c>
      <c r="B74" s="61">
        <v>71200</v>
      </c>
      <c r="C74" s="61">
        <f>ROUNDUP(C76,)</f>
        <v>43234</v>
      </c>
      <c r="D74" s="62" t="s">
        <v>11</v>
      </c>
      <c r="E74" s="61"/>
      <c r="F74" s="67" t="s">
        <v>92</v>
      </c>
    </row>
    <row r="76" spans="1:6" ht="15" x14ac:dyDescent="0.25">
      <c r="C76" s="85">
        <v>43234</v>
      </c>
      <c r="D76" s="65" t="s">
        <v>11</v>
      </c>
      <c r="F76" s="46" t="s">
        <v>247</v>
      </c>
    </row>
    <row r="78" spans="1:6" x14ac:dyDescent="0.2">
      <c r="A78" s="61">
        <v>511</v>
      </c>
      <c r="B78" s="61">
        <v>81100</v>
      </c>
      <c r="C78" s="61">
        <f>ROUNDUP(C80,)</f>
        <v>1939</v>
      </c>
      <c r="D78" s="61" t="s">
        <v>10</v>
      </c>
      <c r="E78" s="61"/>
      <c r="F78" s="58" t="s">
        <v>93</v>
      </c>
    </row>
    <row r="80" spans="1:6" ht="15" x14ac:dyDescent="0.25">
      <c r="C80" s="85">
        <v>1939</v>
      </c>
      <c r="D80" s="1" t="s">
        <v>10</v>
      </c>
      <c r="F80" s="2" t="s">
        <v>222</v>
      </c>
    </row>
    <row r="82" spans="1:6" x14ac:dyDescent="0.2">
      <c r="A82" s="61">
        <v>512</v>
      </c>
      <c r="B82" s="61">
        <v>10001</v>
      </c>
      <c r="C82" s="61">
        <f>ROUNDUP(C93/9,)</f>
        <v>2112</v>
      </c>
      <c r="D82" s="61" t="s">
        <v>9</v>
      </c>
      <c r="E82" s="61"/>
      <c r="F82" s="58" t="s">
        <v>87</v>
      </c>
    </row>
    <row r="84" spans="1:6" x14ac:dyDescent="0.2">
      <c r="C84" s="87">
        <v>43234</v>
      </c>
      <c r="D84" s="1" t="s">
        <v>11</v>
      </c>
      <c r="F84" s="2" t="s">
        <v>128</v>
      </c>
    </row>
    <row r="85" spans="1:6" x14ac:dyDescent="0.2">
      <c r="B85" s="47" t="s">
        <v>268</v>
      </c>
      <c r="C85" s="87"/>
    </row>
    <row r="86" spans="1:6" ht="15" x14ac:dyDescent="0.25">
      <c r="C86" s="88">
        <v>2</v>
      </c>
      <c r="D86" s="1" t="s">
        <v>10</v>
      </c>
      <c r="F86" s="2" t="s">
        <v>129</v>
      </c>
    </row>
    <row r="87" spans="1:6" ht="15" x14ac:dyDescent="0.25">
      <c r="C87" s="88">
        <v>0.83</v>
      </c>
      <c r="D87" s="1" t="s">
        <v>10</v>
      </c>
      <c r="F87" s="2" t="s">
        <v>130</v>
      </c>
    </row>
    <row r="88" spans="1:6" ht="15" x14ac:dyDescent="0.25">
      <c r="C88" s="88">
        <v>0.5</v>
      </c>
      <c r="D88" s="1" t="s">
        <v>10</v>
      </c>
      <c r="F88" s="2" t="s">
        <v>131</v>
      </c>
    </row>
    <row r="89" spans="1:6" ht="15" x14ac:dyDescent="0.25">
      <c r="C89" s="88">
        <v>1939</v>
      </c>
      <c r="D89" s="1" t="s">
        <v>10</v>
      </c>
      <c r="F89" s="2" t="s">
        <v>164</v>
      </c>
    </row>
    <row r="90" spans="1:6" x14ac:dyDescent="0.2">
      <c r="C90" s="87"/>
    </row>
    <row r="91" spans="1:6" x14ac:dyDescent="0.2">
      <c r="C91" s="87">
        <f>(C86+C87+C88)*C89</f>
        <v>6456.87</v>
      </c>
      <c r="D91" s="1" t="s">
        <v>11</v>
      </c>
      <c r="F91" s="2" t="s">
        <v>133</v>
      </c>
    </row>
    <row r="92" spans="1:6" x14ac:dyDescent="0.2">
      <c r="C92" s="86">
        <v>18605</v>
      </c>
    </row>
    <row r="93" spans="1:6" x14ac:dyDescent="0.2">
      <c r="B93" s="89" t="s">
        <v>269</v>
      </c>
      <c r="C93" s="86">
        <v>19000</v>
      </c>
      <c r="D93" s="1" t="s">
        <v>11</v>
      </c>
      <c r="F93" s="2" t="s">
        <v>134</v>
      </c>
    </row>
    <row r="95" spans="1:6" x14ac:dyDescent="0.2">
      <c r="A95" s="61">
        <v>512</v>
      </c>
      <c r="B95" s="61">
        <v>10100</v>
      </c>
      <c r="C95" s="61">
        <f>ROUNDUP(C106/9,)</f>
        <v>5522</v>
      </c>
      <c r="D95" s="61" t="s">
        <v>9</v>
      </c>
      <c r="E95" s="61"/>
      <c r="F95" s="58" t="s">
        <v>88</v>
      </c>
    </row>
    <row r="97" spans="1:6" x14ac:dyDescent="0.2">
      <c r="C97" s="86">
        <v>43234</v>
      </c>
      <c r="D97" s="1" t="s">
        <v>11</v>
      </c>
      <c r="F97" s="2" t="s">
        <v>128</v>
      </c>
    </row>
    <row r="98" spans="1:6" x14ac:dyDescent="0.2">
      <c r="C98" s="86"/>
    </row>
    <row r="99" spans="1:6" ht="15" x14ac:dyDescent="0.25">
      <c r="C99" s="85">
        <v>2</v>
      </c>
      <c r="D99" s="1" t="s">
        <v>10</v>
      </c>
      <c r="F99" s="2" t="s">
        <v>129</v>
      </c>
    </row>
    <row r="100" spans="1:6" ht="15" x14ac:dyDescent="0.25">
      <c r="C100" s="85">
        <v>0.83</v>
      </c>
      <c r="D100" s="1" t="s">
        <v>10</v>
      </c>
      <c r="F100" s="2" t="s">
        <v>130</v>
      </c>
    </row>
    <row r="101" spans="1:6" ht="15" x14ac:dyDescent="0.25">
      <c r="C101" s="85">
        <v>0.5</v>
      </c>
      <c r="D101" s="1" t="s">
        <v>10</v>
      </c>
      <c r="F101" s="2" t="s">
        <v>131</v>
      </c>
    </row>
    <row r="102" spans="1:6" ht="15" x14ac:dyDescent="0.25">
      <c r="C102" s="85">
        <v>1939</v>
      </c>
      <c r="D102" s="1" t="s">
        <v>10</v>
      </c>
      <c r="F102" s="2" t="s">
        <v>132</v>
      </c>
    </row>
    <row r="103" spans="1:6" x14ac:dyDescent="0.2">
      <c r="C103" s="86"/>
    </row>
    <row r="104" spans="1:6" x14ac:dyDescent="0.2">
      <c r="C104" s="86">
        <f>(C99+C100+C101)*C102</f>
        <v>6456.87</v>
      </c>
      <c r="D104" s="1" t="s">
        <v>11</v>
      </c>
      <c r="F104" s="2" t="s">
        <v>133</v>
      </c>
    </row>
    <row r="105" spans="1:6" x14ac:dyDescent="0.2">
      <c r="C105" s="86"/>
    </row>
    <row r="106" spans="1:6" x14ac:dyDescent="0.2">
      <c r="C106" s="86">
        <f>C97+C104</f>
        <v>49690.87</v>
      </c>
      <c r="D106" s="1" t="s">
        <v>11</v>
      </c>
      <c r="F106" s="2" t="s">
        <v>134</v>
      </c>
    </row>
    <row r="108" spans="1:6" x14ac:dyDescent="0.2">
      <c r="A108" s="90">
        <f>B22</f>
        <v>601</v>
      </c>
      <c r="B108" s="90">
        <f>C22</f>
        <v>37500</v>
      </c>
      <c r="C108" s="90"/>
      <c r="D108" s="90" t="str">
        <f>E22</f>
        <v>FT</v>
      </c>
      <c r="E108" s="90"/>
      <c r="F108" s="91" t="str">
        <f>F22</f>
        <v>PAVED GUTTER</v>
      </c>
    </row>
    <row r="111" spans="1:6" x14ac:dyDescent="0.2">
      <c r="A111" s="61">
        <v>840</v>
      </c>
      <c r="B111" s="61">
        <v>20001</v>
      </c>
      <c r="C111" s="61">
        <f>ROUNDUP(C113,)</f>
        <v>43234</v>
      </c>
      <c r="D111" s="61" t="s">
        <v>11</v>
      </c>
      <c r="E111" s="61"/>
      <c r="F111" s="58" t="s">
        <v>73</v>
      </c>
    </row>
    <row r="113" spans="1:6" ht="15" x14ac:dyDescent="0.25">
      <c r="C113" s="85">
        <v>43234</v>
      </c>
      <c r="D113" s="65" t="s">
        <v>11</v>
      </c>
      <c r="F113" s="46" t="s">
        <v>178</v>
      </c>
    </row>
    <row r="114" spans="1:6" x14ac:dyDescent="0.2">
      <c r="D114" s="47"/>
      <c r="F114" s="46"/>
    </row>
    <row r="115" spans="1:6" x14ac:dyDescent="0.2">
      <c r="A115" s="61">
        <v>840</v>
      </c>
      <c r="B115" s="61">
        <v>21000</v>
      </c>
      <c r="C115" s="61">
        <f>ROUNDUP(C123/27,)</f>
        <v>5968</v>
      </c>
      <c r="D115" s="61" t="s">
        <v>6</v>
      </c>
      <c r="E115" s="61"/>
      <c r="F115" s="69" t="s">
        <v>74</v>
      </c>
    </row>
    <row r="117" spans="1:6" ht="15" x14ac:dyDescent="0.25">
      <c r="C117" s="72">
        <v>8468</v>
      </c>
      <c r="D117" s="1" t="s">
        <v>11</v>
      </c>
      <c r="F117" s="46" t="s">
        <v>202</v>
      </c>
    </row>
    <row r="118" spans="1:6" ht="15" x14ac:dyDescent="0.25">
      <c r="C118" s="72">
        <v>1939</v>
      </c>
      <c r="D118" s="47" t="s">
        <v>10</v>
      </c>
      <c r="F118" s="46" t="s">
        <v>203</v>
      </c>
    </row>
    <row r="119" spans="1:6" ht="15" x14ac:dyDescent="0.25">
      <c r="C119" s="72">
        <f>C117/C118</f>
        <v>4.3671995874161942</v>
      </c>
      <c r="D119" s="1" t="s">
        <v>10</v>
      </c>
      <c r="F119" s="46" t="s">
        <v>205</v>
      </c>
    </row>
    <row r="120" spans="1:6" x14ac:dyDescent="0.2">
      <c r="C120"/>
      <c r="F120" s="46"/>
    </row>
    <row r="121" spans="1:6" ht="15" x14ac:dyDescent="0.25">
      <c r="C121" s="72">
        <v>36892</v>
      </c>
      <c r="D121" s="47" t="s">
        <v>11</v>
      </c>
      <c r="F121" s="46" t="s">
        <v>195</v>
      </c>
    </row>
    <row r="122" spans="1:6" x14ac:dyDescent="0.2">
      <c r="C122"/>
      <c r="F122" s="46"/>
    </row>
    <row r="123" spans="1:6" x14ac:dyDescent="0.2">
      <c r="C123" s="9">
        <f>C121*C119</f>
        <v>161114.72717895824</v>
      </c>
      <c r="D123" s="1" t="s">
        <v>98</v>
      </c>
      <c r="F123" s="46" t="s">
        <v>220</v>
      </c>
    </row>
    <row r="125" spans="1:6" x14ac:dyDescent="0.2">
      <c r="A125" s="61">
        <v>840</v>
      </c>
      <c r="B125" s="61">
        <v>22000</v>
      </c>
      <c r="C125" s="61">
        <f>ROUNDUP(C127/9,)</f>
        <v>0</v>
      </c>
      <c r="D125" s="61" t="s">
        <v>9</v>
      </c>
      <c r="E125" s="61"/>
      <c r="F125" s="69" t="s">
        <v>75</v>
      </c>
    </row>
    <row r="127" spans="1:6" x14ac:dyDescent="0.2">
      <c r="C127" s="1">
        <v>0</v>
      </c>
      <c r="D127" s="1" t="s">
        <v>11</v>
      </c>
      <c r="F127" s="46" t="s">
        <v>182</v>
      </c>
    </row>
    <row r="130" spans="1:6" x14ac:dyDescent="0.2">
      <c r="A130" s="61">
        <v>840</v>
      </c>
      <c r="B130" s="61">
        <v>23000</v>
      </c>
      <c r="C130" s="61">
        <f>ROUNDUP(C139/27,)</f>
        <v>30481</v>
      </c>
      <c r="D130" s="62" t="s">
        <v>6</v>
      </c>
      <c r="E130" s="61"/>
      <c r="F130" s="67" t="s">
        <v>76</v>
      </c>
    </row>
    <row r="133" spans="1:6" ht="15" x14ac:dyDescent="0.25">
      <c r="C133" s="64">
        <v>43247</v>
      </c>
      <c r="D133" s="47" t="s">
        <v>11</v>
      </c>
      <c r="F133" s="46" t="s">
        <v>266</v>
      </c>
    </row>
    <row r="134" spans="1:6" x14ac:dyDescent="0.2">
      <c r="C134"/>
      <c r="D134" s="47"/>
      <c r="F134" s="46"/>
    </row>
    <row r="135" spans="1:6" ht="15" x14ac:dyDescent="0.25">
      <c r="C135" s="64">
        <v>36892</v>
      </c>
      <c r="D135" s="47"/>
      <c r="F135" s="46" t="s">
        <v>195</v>
      </c>
    </row>
    <row r="136" spans="1:6" ht="15" x14ac:dyDescent="0.25">
      <c r="C136" s="64">
        <v>1938.65</v>
      </c>
      <c r="D136" s="47" t="s">
        <v>10</v>
      </c>
      <c r="F136" s="46" t="s">
        <v>200</v>
      </c>
    </row>
    <row r="137" spans="1:6" x14ac:dyDescent="0.2">
      <c r="C137" s="9">
        <f>C135/C136</f>
        <v>19.029737188249555</v>
      </c>
      <c r="D137" s="47" t="s">
        <v>98</v>
      </c>
      <c r="F137" s="46" t="s">
        <v>223</v>
      </c>
    </row>
    <row r="138" spans="1:6" x14ac:dyDescent="0.2">
      <c r="C138"/>
      <c r="D138" s="47"/>
      <c r="F138" s="46"/>
    </row>
    <row r="139" spans="1:6" x14ac:dyDescent="0.2">
      <c r="C139" s="9">
        <f>C137*C133</f>
        <v>822979.04418022849</v>
      </c>
      <c r="D139" s="47" t="s">
        <v>98</v>
      </c>
      <c r="F139" s="46" t="s">
        <v>125</v>
      </c>
    </row>
    <row r="141" spans="1:6" x14ac:dyDescent="0.2">
      <c r="A141" s="61">
        <v>840</v>
      </c>
      <c r="B141" s="61">
        <v>25010</v>
      </c>
      <c r="C141" s="61">
        <f>ROUNDUP(C146,)</f>
        <v>1964</v>
      </c>
      <c r="D141" s="61" t="s">
        <v>10</v>
      </c>
      <c r="E141" s="61"/>
      <c r="F141" s="58" t="s">
        <v>78</v>
      </c>
    </row>
    <row r="143" spans="1:6" ht="15" x14ac:dyDescent="0.25">
      <c r="C143" s="64">
        <v>1938.65</v>
      </c>
      <c r="D143" s="1" t="s">
        <v>10</v>
      </c>
      <c r="F143" s="46" t="s">
        <v>189</v>
      </c>
    </row>
    <row r="144" spans="1:6" ht="15" x14ac:dyDescent="0.25">
      <c r="C144" s="64">
        <v>25</v>
      </c>
      <c r="D144" s="47" t="s">
        <v>10</v>
      </c>
      <c r="F144" s="46" t="s">
        <v>206</v>
      </c>
    </row>
    <row r="145" spans="1:6" x14ac:dyDescent="0.2">
      <c r="D145" s="47"/>
      <c r="F145" s="46"/>
    </row>
    <row r="146" spans="1:6" x14ac:dyDescent="0.2">
      <c r="C146" s="1">
        <f>C144+C143</f>
        <v>1963.65</v>
      </c>
      <c r="D146" s="47" t="s">
        <v>10</v>
      </c>
      <c r="F146" s="46" t="s">
        <v>191</v>
      </c>
    </row>
    <row r="148" spans="1:6" x14ac:dyDescent="0.2">
      <c r="A148" s="61">
        <v>840</v>
      </c>
      <c r="B148" s="61">
        <v>25020</v>
      </c>
      <c r="C148" s="61">
        <f>C150</f>
        <v>0</v>
      </c>
      <c r="D148" s="61" t="s">
        <v>10</v>
      </c>
      <c r="E148" s="61"/>
      <c r="F148" s="58" t="s">
        <v>79</v>
      </c>
    </row>
    <row r="150" spans="1:6" x14ac:dyDescent="0.2">
      <c r="C150" s="1">
        <v>0</v>
      </c>
      <c r="D150" s="1" t="s">
        <v>10</v>
      </c>
      <c r="F150" s="46" t="s">
        <v>174</v>
      </c>
    </row>
    <row r="152" spans="1:6" x14ac:dyDescent="0.2">
      <c r="A152" s="70">
        <v>840</v>
      </c>
      <c r="B152" s="70">
        <v>26000</v>
      </c>
      <c r="C152" s="70">
        <f>ROUNDUP(C154,)</f>
        <v>1939</v>
      </c>
      <c r="D152" s="66" t="s">
        <v>10</v>
      </c>
      <c r="E152" s="71"/>
      <c r="F152" s="58" t="s">
        <v>80</v>
      </c>
    </row>
    <row r="154" spans="1:6" ht="15" x14ac:dyDescent="0.25">
      <c r="C154" s="64">
        <v>1938.65</v>
      </c>
      <c r="D154" s="1" t="s">
        <v>10</v>
      </c>
      <c r="F154" s="46" t="s">
        <v>172</v>
      </c>
    </row>
    <row r="156" spans="1:6" x14ac:dyDescent="0.2">
      <c r="A156" s="70">
        <v>840</v>
      </c>
      <c r="B156" s="70">
        <v>26050</v>
      </c>
      <c r="C156" s="70">
        <f>ROUNDUP(C158,)</f>
        <v>43234</v>
      </c>
      <c r="D156" s="66" t="s">
        <v>11</v>
      </c>
      <c r="E156" s="71"/>
      <c r="F156" s="58" t="s">
        <v>85</v>
      </c>
    </row>
    <row r="158" spans="1:6" ht="15" x14ac:dyDescent="0.25">
      <c r="C158" s="85">
        <v>43234</v>
      </c>
      <c r="D158" s="47" t="s">
        <v>11</v>
      </c>
      <c r="F158" s="46" t="s">
        <v>173</v>
      </c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zoomScale="140" zoomScaleNormal="14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67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5811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C48</f>
        <v>1453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f>C59</f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>
        <f>C63</f>
        <v>0</v>
      </c>
      <c r="E10" s="51" t="s">
        <v>6</v>
      </c>
      <c r="F10" s="51" t="s">
        <v>197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C55</f>
        <v>0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f>C74</f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v>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C91</f>
        <v>5538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C104</f>
        <v>43920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C108</f>
        <v>8667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C128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C133</f>
        <v>40876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C155</f>
        <v>1898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C162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C166</f>
        <v>1727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C173</f>
        <v>43888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ROUNDUP(C45/27,)</f>
        <v>5811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19302</v>
      </c>
      <c r="D41" s="47" t="s">
        <v>11</v>
      </c>
      <c r="F41" s="46" t="s">
        <v>243</v>
      </c>
    </row>
    <row r="42" spans="1:7" ht="15" x14ac:dyDescent="0.25">
      <c r="C42" s="64">
        <v>19916</v>
      </c>
      <c r="D42" s="47" t="s">
        <v>11</v>
      </c>
      <c r="F42" s="46" t="s">
        <v>244</v>
      </c>
    </row>
    <row r="43" spans="1:7" ht="15" x14ac:dyDescent="0.25">
      <c r="A43" s="24"/>
      <c r="B43" s="24"/>
      <c r="C43" s="64">
        <v>4</v>
      </c>
      <c r="D43" s="47" t="s">
        <v>10</v>
      </c>
      <c r="F43" s="46" t="s">
        <v>97</v>
      </c>
    </row>
    <row r="44" spans="1:7" x14ac:dyDescent="0.2">
      <c r="A44" s="24"/>
      <c r="B44" s="24"/>
      <c r="C44"/>
      <c r="D44" s="47"/>
      <c r="F44" s="46"/>
    </row>
    <row r="45" spans="1:7" x14ac:dyDescent="0.2">
      <c r="A45" s="24"/>
      <c r="B45" s="24"/>
      <c r="C45" s="1">
        <f>C43*(C41+C42)</f>
        <v>156872</v>
      </c>
      <c r="D45" s="47" t="s">
        <v>98</v>
      </c>
      <c r="F45" s="46" t="s">
        <v>99</v>
      </c>
    </row>
    <row r="46" spans="1:7" x14ac:dyDescent="0.2">
      <c r="A46" s="24"/>
      <c r="B46" s="24"/>
      <c r="C46" s="24"/>
      <c r="D46" s="24"/>
      <c r="E46" s="24"/>
      <c r="F46" s="26"/>
    </row>
    <row r="47" spans="1:7" x14ac:dyDescent="0.2">
      <c r="A47" s="24"/>
      <c r="B47" s="24"/>
      <c r="C47" s="24"/>
      <c r="D47" s="24"/>
      <c r="E47" s="24"/>
      <c r="F47" s="26"/>
    </row>
    <row r="48" spans="1:7" x14ac:dyDescent="0.2">
      <c r="A48" s="61">
        <v>203</v>
      </c>
      <c r="B48" s="61">
        <v>35120</v>
      </c>
      <c r="C48" s="61">
        <f>ROUNDUP(C53/27,)</f>
        <v>1453</v>
      </c>
      <c r="D48" s="62" t="s">
        <v>6</v>
      </c>
      <c r="E48" s="61"/>
      <c r="F48" s="67" t="s">
        <v>95</v>
      </c>
    </row>
    <row r="49" spans="1:6" x14ac:dyDescent="0.2">
      <c r="F49" s="2"/>
    </row>
    <row r="50" spans="1:6" ht="15" x14ac:dyDescent="0.25">
      <c r="C50" s="64">
        <v>19302</v>
      </c>
      <c r="D50" s="47" t="s">
        <v>11</v>
      </c>
      <c r="F50" s="46" t="s">
        <v>225</v>
      </c>
    </row>
    <row r="51" spans="1:6" ht="15" x14ac:dyDescent="0.25">
      <c r="C51" s="64">
        <v>19916</v>
      </c>
      <c r="D51" s="47" t="s">
        <v>11</v>
      </c>
      <c r="F51" s="46" t="s">
        <v>226</v>
      </c>
    </row>
    <row r="52" spans="1:6" ht="15" x14ac:dyDescent="0.25">
      <c r="C52" s="64">
        <v>1</v>
      </c>
      <c r="D52" s="47" t="s">
        <v>10</v>
      </c>
      <c r="F52" s="46" t="s">
        <v>97</v>
      </c>
    </row>
    <row r="53" spans="1:6" x14ac:dyDescent="0.2">
      <c r="C53" s="1">
        <f>C52*(C50+C51)</f>
        <v>39218</v>
      </c>
      <c r="D53" s="47" t="s">
        <v>98</v>
      </c>
      <c r="F53" s="46" t="s">
        <v>99</v>
      </c>
    </row>
    <row r="54" spans="1:6" x14ac:dyDescent="0.2">
      <c r="D54" s="47"/>
      <c r="F54" s="46"/>
    </row>
    <row r="55" spans="1:6" x14ac:dyDescent="0.2">
      <c r="A55" s="74" t="s">
        <v>7</v>
      </c>
      <c r="B55" s="70">
        <v>20365000</v>
      </c>
      <c r="C55" s="70">
        <f>C57</f>
        <v>0</v>
      </c>
      <c r="D55" s="66" t="s">
        <v>37</v>
      </c>
      <c r="E55" s="71"/>
      <c r="F55" s="58" t="s">
        <v>71</v>
      </c>
    </row>
    <row r="56" spans="1:6" x14ac:dyDescent="0.2">
      <c r="D56" s="47"/>
      <c r="F56" s="46"/>
    </row>
    <row r="57" spans="1:6" ht="15" x14ac:dyDescent="0.25">
      <c r="C57" s="64">
        <v>0</v>
      </c>
      <c r="D57" s="47" t="s">
        <v>37</v>
      </c>
      <c r="F57" s="46" t="s">
        <v>192</v>
      </c>
    </row>
    <row r="58" spans="1:6" x14ac:dyDescent="0.2">
      <c r="D58" s="47"/>
      <c r="F58" s="46"/>
    </row>
    <row r="59" spans="1:6" x14ac:dyDescent="0.2">
      <c r="A59" s="70">
        <v>203</v>
      </c>
      <c r="B59" s="70">
        <v>98000</v>
      </c>
      <c r="C59" s="70">
        <f>ROUNDUP(C61/27,)</f>
        <v>0</v>
      </c>
      <c r="D59" s="66" t="s">
        <v>6</v>
      </c>
      <c r="E59" s="71"/>
      <c r="F59" s="58" t="s">
        <v>89</v>
      </c>
    </row>
    <row r="60" spans="1:6" x14ac:dyDescent="0.2">
      <c r="D60" s="47"/>
      <c r="F60" s="46"/>
    </row>
    <row r="61" spans="1:6" x14ac:dyDescent="0.2">
      <c r="C61" s="1">
        <v>0</v>
      </c>
      <c r="D61" s="47" t="s">
        <v>98</v>
      </c>
      <c r="F61" s="46" t="s">
        <v>196</v>
      </c>
    </row>
    <row r="62" spans="1:6" x14ac:dyDescent="0.2">
      <c r="D62" s="47"/>
      <c r="F62" s="46"/>
    </row>
    <row r="63" spans="1:6" x14ac:dyDescent="0.2">
      <c r="A63" s="70">
        <v>203</v>
      </c>
      <c r="B63" s="70">
        <v>98000</v>
      </c>
      <c r="C63" s="70">
        <f>ROUNDUP(C65/27,)</f>
        <v>0</v>
      </c>
      <c r="D63" s="66" t="s">
        <v>6</v>
      </c>
      <c r="E63" s="71"/>
      <c r="F63" s="58" t="s">
        <v>197</v>
      </c>
    </row>
    <row r="64" spans="1:6" x14ac:dyDescent="0.2">
      <c r="D64" s="47"/>
      <c r="F64" s="46"/>
    </row>
    <row r="65" spans="1:7" x14ac:dyDescent="0.2">
      <c r="C65" s="9">
        <v>0</v>
      </c>
      <c r="D65" s="47" t="s">
        <v>98</v>
      </c>
      <c r="F65" s="46" t="s">
        <v>199</v>
      </c>
    </row>
    <row r="66" spans="1:7" x14ac:dyDescent="0.2">
      <c r="F66" s="2"/>
    </row>
    <row r="67" spans="1:7" x14ac:dyDescent="0.2">
      <c r="A67" s="61">
        <v>511</v>
      </c>
      <c r="B67" s="61">
        <v>71200</v>
      </c>
      <c r="C67" s="61">
        <f>ROUNDUP(C72,)</f>
        <v>43920</v>
      </c>
      <c r="D67" s="62" t="s">
        <v>11</v>
      </c>
      <c r="E67" s="61"/>
      <c r="F67" s="67" t="s">
        <v>92</v>
      </c>
    </row>
    <row r="68" spans="1:7" x14ac:dyDescent="0.2">
      <c r="F68" s="2"/>
    </row>
    <row r="69" spans="1:7" ht="15" x14ac:dyDescent="0.25">
      <c r="C69" s="64">
        <v>21322</v>
      </c>
      <c r="D69" s="1" t="s">
        <v>11</v>
      </c>
      <c r="F69" s="2" t="s">
        <v>227</v>
      </c>
      <c r="G69" s="1" t="s">
        <v>58</v>
      </c>
    </row>
    <row r="70" spans="1:7" ht="15" x14ac:dyDescent="0.25">
      <c r="C70" s="64">
        <v>22598</v>
      </c>
      <c r="D70" s="1" t="s">
        <v>11</v>
      </c>
      <c r="F70" s="2" t="s">
        <v>228</v>
      </c>
      <c r="G70" s="1" t="s">
        <v>58</v>
      </c>
    </row>
    <row r="71" spans="1:7" x14ac:dyDescent="0.2">
      <c r="F71" s="2"/>
    </row>
    <row r="72" spans="1:7" x14ac:dyDescent="0.2">
      <c r="C72" s="1">
        <f>C69+C70</f>
        <v>43920</v>
      </c>
      <c r="D72" s="65" t="s">
        <v>11</v>
      </c>
      <c r="F72" s="46" t="s">
        <v>193</v>
      </c>
    </row>
    <row r="73" spans="1:7" x14ac:dyDescent="0.2">
      <c r="F73" s="2"/>
    </row>
    <row r="74" spans="1:7" x14ac:dyDescent="0.2">
      <c r="A74" s="61">
        <v>511</v>
      </c>
      <c r="B74" s="61">
        <v>81100</v>
      </c>
      <c r="C74" s="61">
        <f>ROUNDUP(C76,)</f>
        <v>0</v>
      </c>
      <c r="D74" s="61" t="s">
        <v>10</v>
      </c>
      <c r="E74" s="61"/>
      <c r="F74" s="58" t="s">
        <v>93</v>
      </c>
    </row>
    <row r="75" spans="1:7" x14ac:dyDescent="0.2">
      <c r="F75" s="2"/>
    </row>
    <row r="76" spans="1:7" ht="15" x14ac:dyDescent="0.25">
      <c r="C76" s="64">
        <v>0</v>
      </c>
      <c r="D76" s="1" t="s">
        <v>10</v>
      </c>
      <c r="F76" s="2" t="s">
        <v>222</v>
      </c>
    </row>
    <row r="77" spans="1:7" x14ac:dyDescent="0.2">
      <c r="F77" s="2"/>
    </row>
    <row r="78" spans="1:7" x14ac:dyDescent="0.2">
      <c r="A78" s="61">
        <v>512</v>
      </c>
      <c r="B78" s="61">
        <v>10001</v>
      </c>
      <c r="C78" s="61">
        <f>ROUNDUP(C89/9,)</f>
        <v>5538</v>
      </c>
      <c r="D78" s="61" t="s">
        <v>9</v>
      </c>
      <c r="E78" s="61"/>
      <c r="F78" s="58" t="s">
        <v>87</v>
      </c>
    </row>
    <row r="79" spans="1:7" x14ac:dyDescent="0.2">
      <c r="F79" s="2"/>
    </row>
    <row r="80" spans="1:7" x14ac:dyDescent="0.2">
      <c r="C80" s="1">
        <v>43920</v>
      </c>
      <c r="D80" s="1" t="s">
        <v>11</v>
      </c>
      <c r="F80" s="2" t="s">
        <v>128</v>
      </c>
    </row>
    <row r="81" spans="1:6" x14ac:dyDescent="0.2">
      <c r="F81" s="2"/>
    </row>
    <row r="82" spans="1:6" ht="15" x14ac:dyDescent="0.25">
      <c r="C82" s="64">
        <v>2</v>
      </c>
      <c r="D82" s="1" t="s">
        <v>10</v>
      </c>
      <c r="F82" s="2" t="s">
        <v>129</v>
      </c>
    </row>
    <row r="83" spans="1:6" ht="15" x14ac:dyDescent="0.25">
      <c r="C83" s="64">
        <v>0.83</v>
      </c>
      <c r="D83" s="1" t="s">
        <v>10</v>
      </c>
      <c r="F83" s="2" t="s">
        <v>130</v>
      </c>
    </row>
    <row r="84" spans="1:6" ht="15" x14ac:dyDescent="0.25">
      <c r="C84" s="64">
        <v>0.5</v>
      </c>
      <c r="D84" s="1" t="s">
        <v>10</v>
      </c>
      <c r="F84" s="2" t="s">
        <v>131</v>
      </c>
    </row>
    <row r="85" spans="1:6" ht="15" x14ac:dyDescent="0.25">
      <c r="C85" s="64">
        <v>1776.12</v>
      </c>
      <c r="D85" s="1" t="s">
        <v>10</v>
      </c>
      <c r="F85" s="2" t="s">
        <v>229</v>
      </c>
    </row>
    <row r="86" spans="1:6" x14ac:dyDescent="0.2">
      <c r="F86" s="2"/>
    </row>
    <row r="87" spans="1:6" x14ac:dyDescent="0.2">
      <c r="C87" s="1">
        <f>(C82+C83+C84)*C85</f>
        <v>5914.4795999999997</v>
      </c>
      <c r="D87" s="1" t="s">
        <v>11</v>
      </c>
      <c r="F87" s="2" t="s">
        <v>133</v>
      </c>
    </row>
    <row r="88" spans="1:6" x14ac:dyDescent="0.2">
      <c r="F88" s="2"/>
    </row>
    <row r="89" spans="1:6" x14ac:dyDescent="0.2">
      <c r="C89" s="1">
        <f>C80+C87</f>
        <v>49834.479599999999</v>
      </c>
      <c r="D89" s="1" t="s">
        <v>11</v>
      </c>
      <c r="F89" s="2" t="s">
        <v>134</v>
      </c>
    </row>
    <row r="90" spans="1:6" x14ac:dyDescent="0.2">
      <c r="F90" s="2"/>
    </row>
    <row r="91" spans="1:6" x14ac:dyDescent="0.2">
      <c r="A91" s="61">
        <v>512</v>
      </c>
      <c r="B91" s="61">
        <v>10100</v>
      </c>
      <c r="C91" s="61">
        <f>ROUNDUP(C102/9,)</f>
        <v>5538</v>
      </c>
      <c r="D91" s="61" t="s">
        <v>9</v>
      </c>
      <c r="E91" s="61"/>
      <c r="F91" s="58" t="s">
        <v>88</v>
      </c>
    </row>
    <row r="92" spans="1:6" x14ac:dyDescent="0.2">
      <c r="F92" s="2"/>
    </row>
    <row r="93" spans="1:6" x14ac:dyDescent="0.2">
      <c r="C93" s="1">
        <v>43920</v>
      </c>
      <c r="D93" s="1" t="s">
        <v>11</v>
      </c>
      <c r="F93" s="2" t="s">
        <v>128</v>
      </c>
    </row>
    <row r="94" spans="1:6" x14ac:dyDescent="0.2">
      <c r="F94" s="2"/>
    </row>
    <row r="95" spans="1:6" ht="15" x14ac:dyDescent="0.25">
      <c r="C95" s="64">
        <v>2</v>
      </c>
      <c r="D95" s="1" t="s">
        <v>10</v>
      </c>
      <c r="F95" s="2" t="s">
        <v>129</v>
      </c>
    </row>
    <row r="96" spans="1:6" ht="15" x14ac:dyDescent="0.25">
      <c r="C96" s="64">
        <v>0.83</v>
      </c>
      <c r="D96" s="1" t="s">
        <v>10</v>
      </c>
      <c r="F96" s="2" t="s">
        <v>130</v>
      </c>
    </row>
    <row r="97" spans="1:6" ht="15" x14ac:dyDescent="0.25">
      <c r="C97" s="64">
        <v>0.5</v>
      </c>
      <c r="D97" s="1" t="s">
        <v>10</v>
      </c>
      <c r="F97" s="2" t="s">
        <v>131</v>
      </c>
    </row>
    <row r="98" spans="1:6" ht="15" x14ac:dyDescent="0.25">
      <c r="C98" s="64">
        <v>1776.12</v>
      </c>
      <c r="D98" s="1" t="s">
        <v>10</v>
      </c>
      <c r="F98" s="2" t="s">
        <v>132</v>
      </c>
    </row>
    <row r="99" spans="1:6" x14ac:dyDescent="0.2">
      <c r="F99" s="2"/>
    </row>
    <row r="100" spans="1:6" x14ac:dyDescent="0.2">
      <c r="C100" s="1">
        <f>(C95+C96+C97)*C98</f>
        <v>5914.4795999999997</v>
      </c>
      <c r="D100" s="1" t="s">
        <v>11</v>
      </c>
      <c r="F100" s="2" t="s">
        <v>133</v>
      </c>
    </row>
    <row r="101" spans="1:6" x14ac:dyDescent="0.2">
      <c r="F101" s="2"/>
    </row>
    <row r="102" spans="1:6" x14ac:dyDescent="0.2">
      <c r="C102" s="1">
        <f>C93+C100</f>
        <v>49834.479599999999</v>
      </c>
      <c r="D102" s="1" t="s">
        <v>11</v>
      </c>
      <c r="F102" s="2" t="s">
        <v>134</v>
      </c>
    </row>
    <row r="103" spans="1:6" x14ac:dyDescent="0.2">
      <c r="F103" s="2"/>
    </row>
    <row r="104" spans="1:6" x14ac:dyDescent="0.2">
      <c r="A104" s="61">
        <v>840</v>
      </c>
      <c r="B104" s="61">
        <v>20001</v>
      </c>
      <c r="C104" s="61">
        <f>ROUNDUP(C106,)</f>
        <v>43920</v>
      </c>
      <c r="D104" s="61" t="s">
        <v>11</v>
      </c>
      <c r="E104" s="61"/>
      <c r="F104" s="58" t="s">
        <v>73</v>
      </c>
    </row>
    <row r="105" spans="1:6" x14ac:dyDescent="0.2">
      <c r="F105" s="2"/>
    </row>
    <row r="106" spans="1:6" ht="15" x14ac:dyDescent="0.25">
      <c r="C106" s="64">
        <v>43920</v>
      </c>
      <c r="D106" s="65" t="s">
        <v>11</v>
      </c>
      <c r="F106" s="46" t="s">
        <v>178</v>
      </c>
    </row>
    <row r="107" spans="1:6" x14ac:dyDescent="0.2">
      <c r="D107" s="47"/>
      <c r="F107" s="46"/>
    </row>
    <row r="108" spans="1:6" x14ac:dyDescent="0.2">
      <c r="A108" s="61">
        <v>840</v>
      </c>
      <c r="B108" s="61">
        <v>21000</v>
      </c>
      <c r="C108" s="61">
        <f>ROUNDUP(C126/27,)</f>
        <v>8667</v>
      </c>
      <c r="D108" s="61" t="s">
        <v>6</v>
      </c>
      <c r="E108" s="61"/>
      <c r="F108" s="69" t="s">
        <v>74</v>
      </c>
    </row>
    <row r="109" spans="1:6" x14ac:dyDescent="0.2">
      <c r="F109" s="2"/>
    </row>
    <row r="110" spans="1:6" ht="15" x14ac:dyDescent="0.25">
      <c r="C110" s="72">
        <v>5277</v>
      </c>
      <c r="D110" s="1" t="s">
        <v>11</v>
      </c>
      <c r="F110" s="46" t="s">
        <v>230</v>
      </c>
    </row>
    <row r="111" spans="1:6" ht="15" x14ac:dyDescent="0.25">
      <c r="C111" s="72">
        <v>1030.6199999999999</v>
      </c>
      <c r="D111" s="47" t="s">
        <v>10</v>
      </c>
      <c r="F111" s="46" t="s">
        <v>203</v>
      </c>
    </row>
    <row r="112" spans="1:6" ht="15" x14ac:dyDescent="0.25">
      <c r="C112" s="72">
        <f>C110/C111</f>
        <v>5.1202188973627534</v>
      </c>
      <c r="D112" s="1" t="s">
        <v>10</v>
      </c>
      <c r="F112" s="46" t="s">
        <v>245</v>
      </c>
    </row>
    <row r="113" spans="1:6" x14ac:dyDescent="0.2">
      <c r="C113"/>
      <c r="F113" s="46"/>
    </row>
    <row r="114" spans="1:6" ht="15" x14ac:dyDescent="0.25">
      <c r="C114" s="72">
        <v>19302</v>
      </c>
      <c r="D114" s="47" t="s">
        <v>11</v>
      </c>
      <c r="F114" s="46" t="s">
        <v>243</v>
      </c>
    </row>
    <row r="115" spans="1:6" x14ac:dyDescent="0.2">
      <c r="C115"/>
      <c r="F115" s="46"/>
    </row>
    <row r="116" spans="1:6" x14ac:dyDescent="0.2">
      <c r="C116" s="9">
        <f>C114*C112</f>
        <v>98830.465156895865</v>
      </c>
      <c r="D116" s="1" t="s">
        <v>98</v>
      </c>
      <c r="F116" s="46" t="s">
        <v>231</v>
      </c>
    </row>
    <row r="117" spans="1:6" x14ac:dyDescent="0.2">
      <c r="C117" s="9"/>
      <c r="F117" s="46"/>
    </row>
    <row r="118" spans="1:6" ht="15" x14ac:dyDescent="0.25">
      <c r="C118" s="72">
        <v>5060</v>
      </c>
      <c r="D118" s="1" t="s">
        <v>11</v>
      </c>
      <c r="F118" s="46" t="s">
        <v>180</v>
      </c>
    </row>
    <row r="119" spans="1:6" ht="15" x14ac:dyDescent="0.25">
      <c r="C119" s="72">
        <v>745.5</v>
      </c>
      <c r="D119" s="1" t="s">
        <v>10</v>
      </c>
      <c r="F119" s="46" t="s">
        <v>203</v>
      </c>
    </row>
    <row r="120" spans="1:6" ht="15" x14ac:dyDescent="0.25">
      <c r="C120" s="72">
        <f>C118/C119</f>
        <v>6.7873910127431252</v>
      </c>
      <c r="D120" s="1" t="s">
        <v>10</v>
      </c>
      <c r="F120" s="46" t="s">
        <v>205</v>
      </c>
    </row>
    <row r="121" spans="1:6" x14ac:dyDescent="0.2">
      <c r="C121" s="9"/>
      <c r="F121" s="46"/>
    </row>
    <row r="122" spans="1:6" ht="15" x14ac:dyDescent="0.25">
      <c r="C122" s="72">
        <v>19916</v>
      </c>
      <c r="D122" s="1" t="s">
        <v>11</v>
      </c>
      <c r="F122" s="46" t="s">
        <v>232</v>
      </c>
    </row>
    <row r="123" spans="1:6" x14ac:dyDescent="0.2">
      <c r="C123" s="9"/>
      <c r="F123" s="46"/>
    </row>
    <row r="124" spans="1:6" x14ac:dyDescent="0.2">
      <c r="C124" s="9">
        <f>C122*C120</f>
        <v>135177.67940979209</v>
      </c>
      <c r="D124" s="1" t="s">
        <v>98</v>
      </c>
      <c r="F124" s="46" t="s">
        <v>233</v>
      </c>
    </row>
    <row r="125" spans="1:6" x14ac:dyDescent="0.2">
      <c r="C125" s="9"/>
      <c r="F125" s="46"/>
    </row>
    <row r="126" spans="1:6" x14ac:dyDescent="0.2">
      <c r="C126" s="9">
        <f>C116+C124</f>
        <v>234008.14456668796</v>
      </c>
      <c r="D126" s="1" t="s">
        <v>98</v>
      </c>
      <c r="F126" s="46" t="s">
        <v>246</v>
      </c>
    </row>
    <row r="127" spans="1:6" x14ac:dyDescent="0.2">
      <c r="F127" s="2"/>
    </row>
    <row r="128" spans="1:6" x14ac:dyDescent="0.2">
      <c r="A128" s="61">
        <v>840</v>
      </c>
      <c r="B128" s="61">
        <v>22000</v>
      </c>
      <c r="C128" s="61">
        <f>ROUNDUP(C130/9,)</f>
        <v>0</v>
      </c>
      <c r="D128" s="61" t="s">
        <v>9</v>
      </c>
      <c r="E128" s="61"/>
      <c r="F128" s="69" t="s">
        <v>75</v>
      </c>
    </row>
    <row r="129" spans="1:6" x14ac:dyDescent="0.2">
      <c r="F129" s="2"/>
    </row>
    <row r="130" spans="1:6" x14ac:dyDescent="0.2">
      <c r="C130" s="1">
        <v>0</v>
      </c>
      <c r="D130" s="1" t="s">
        <v>11</v>
      </c>
      <c r="F130" s="46" t="s">
        <v>182</v>
      </c>
    </row>
    <row r="131" spans="1:6" x14ac:dyDescent="0.2">
      <c r="F131" s="2"/>
    </row>
    <row r="132" spans="1:6" x14ac:dyDescent="0.2">
      <c r="F132" s="2"/>
    </row>
    <row r="133" spans="1:6" x14ac:dyDescent="0.2">
      <c r="A133" s="61">
        <v>840</v>
      </c>
      <c r="B133" s="61">
        <v>23000</v>
      </c>
      <c r="C133" s="61">
        <f>ROUNDUP(C152/27,)</f>
        <v>40876</v>
      </c>
      <c r="D133" s="62" t="s">
        <v>6</v>
      </c>
      <c r="E133" s="61"/>
      <c r="F133" s="67" t="s">
        <v>76</v>
      </c>
    </row>
    <row r="134" spans="1:6" x14ac:dyDescent="0.2">
      <c r="F134" s="2"/>
    </row>
    <row r="135" spans="1:6" x14ac:dyDescent="0.2">
      <c r="F135" s="2"/>
    </row>
    <row r="136" spans="1:6" ht="15" x14ac:dyDescent="0.25">
      <c r="C136" s="64">
        <v>23401</v>
      </c>
      <c r="D136" s="47" t="s">
        <v>11</v>
      </c>
      <c r="F136" s="46" t="s">
        <v>234</v>
      </c>
    </row>
    <row r="137" spans="1:6" x14ac:dyDescent="0.2">
      <c r="C137"/>
      <c r="D137" s="47"/>
      <c r="F137" s="46"/>
    </row>
    <row r="138" spans="1:6" ht="15" x14ac:dyDescent="0.25">
      <c r="C138" s="64">
        <v>19302</v>
      </c>
      <c r="D138" s="47"/>
      <c r="F138" s="46" t="s">
        <v>236</v>
      </c>
    </row>
    <row r="139" spans="1:6" ht="15" x14ac:dyDescent="0.25">
      <c r="C139" s="64">
        <v>981</v>
      </c>
      <c r="D139" s="47" t="s">
        <v>10</v>
      </c>
      <c r="F139" s="46" t="s">
        <v>200</v>
      </c>
    </row>
    <row r="140" spans="1:6" x14ac:dyDescent="0.2">
      <c r="C140" s="9">
        <f>C138/C139</f>
        <v>19.675840978593271</v>
      </c>
      <c r="D140" s="47" t="s">
        <v>10</v>
      </c>
      <c r="F140" s="46" t="s">
        <v>223</v>
      </c>
    </row>
    <row r="141" spans="1:6" x14ac:dyDescent="0.2">
      <c r="C141"/>
      <c r="D141" s="47"/>
      <c r="F141" s="46"/>
    </row>
    <row r="142" spans="1:6" x14ac:dyDescent="0.2">
      <c r="C142" s="9">
        <f>C140*C136</f>
        <v>460434.35474006116</v>
      </c>
      <c r="D142" s="47" t="s">
        <v>98</v>
      </c>
      <c r="F142" s="46" t="s">
        <v>240</v>
      </c>
    </row>
    <row r="143" spans="1:6" x14ac:dyDescent="0.2">
      <c r="C143" s="9"/>
      <c r="D143" s="47"/>
      <c r="F143" s="46"/>
    </row>
    <row r="144" spans="1:6" ht="15" x14ac:dyDescent="0.25">
      <c r="C144" s="64">
        <v>24092.720000000001</v>
      </c>
      <c r="D144" s="47" t="s">
        <v>11</v>
      </c>
      <c r="F144" s="46" t="s">
        <v>235</v>
      </c>
    </row>
    <row r="145" spans="1:6" x14ac:dyDescent="0.2">
      <c r="C145"/>
      <c r="D145" s="47"/>
      <c r="F145" s="46"/>
    </row>
    <row r="146" spans="1:6" ht="15" x14ac:dyDescent="0.25">
      <c r="C146" s="64">
        <v>19916</v>
      </c>
      <c r="D146" s="47"/>
      <c r="F146" s="46" t="s">
        <v>237</v>
      </c>
    </row>
    <row r="147" spans="1:6" ht="15" x14ac:dyDescent="0.25">
      <c r="C147" s="64">
        <v>746</v>
      </c>
      <c r="D147" s="47" t="s">
        <v>10</v>
      </c>
      <c r="F147" s="46" t="s">
        <v>200</v>
      </c>
    </row>
    <row r="148" spans="1:6" x14ac:dyDescent="0.2">
      <c r="C148" s="9">
        <f>C146/C147</f>
        <v>26.697050938337803</v>
      </c>
      <c r="D148" s="47" t="s">
        <v>10</v>
      </c>
      <c r="F148" s="46" t="s">
        <v>223</v>
      </c>
    </row>
    <row r="149" spans="1:6" x14ac:dyDescent="0.2">
      <c r="C149"/>
      <c r="D149" s="47"/>
      <c r="F149" s="46"/>
    </row>
    <row r="150" spans="1:6" x14ac:dyDescent="0.2">
      <c r="C150" s="9">
        <f>C148*C144</f>
        <v>643204.57308311004</v>
      </c>
      <c r="D150" s="47" t="s">
        <v>98</v>
      </c>
      <c r="F150" s="46" t="s">
        <v>239</v>
      </c>
    </row>
    <row r="151" spans="1:6" x14ac:dyDescent="0.2">
      <c r="C151" s="9"/>
      <c r="D151" s="47"/>
      <c r="F151" s="46"/>
    </row>
    <row r="152" spans="1:6" x14ac:dyDescent="0.2">
      <c r="C152" s="9">
        <f>C150+C142</f>
        <v>1103638.9278231713</v>
      </c>
      <c r="D152" s="47" t="s">
        <v>98</v>
      </c>
      <c r="F152" s="46" t="s">
        <v>238</v>
      </c>
    </row>
    <row r="153" spans="1:6" x14ac:dyDescent="0.2">
      <c r="C153" s="9"/>
      <c r="D153" s="47"/>
      <c r="F153" s="46"/>
    </row>
    <row r="154" spans="1:6" x14ac:dyDescent="0.2">
      <c r="F154" s="2"/>
    </row>
    <row r="155" spans="1:6" x14ac:dyDescent="0.2">
      <c r="A155" s="61">
        <v>840</v>
      </c>
      <c r="B155" s="61">
        <v>25010</v>
      </c>
      <c r="C155" s="61">
        <f>ROUNDUP(C160,)</f>
        <v>1898</v>
      </c>
      <c r="D155" s="61" t="s">
        <v>10</v>
      </c>
      <c r="E155" s="61"/>
      <c r="F155" s="58" t="s">
        <v>78</v>
      </c>
    </row>
    <row r="156" spans="1:6" x14ac:dyDescent="0.2">
      <c r="F156" s="2"/>
    </row>
    <row r="157" spans="1:6" ht="15" x14ac:dyDescent="0.25">
      <c r="C157" s="64">
        <v>1045</v>
      </c>
      <c r="D157" s="1" t="s">
        <v>10</v>
      </c>
      <c r="F157" s="46" t="s">
        <v>241</v>
      </c>
    </row>
    <row r="158" spans="1:6" ht="15" x14ac:dyDescent="0.25">
      <c r="C158" s="64">
        <v>853</v>
      </c>
      <c r="D158" s="47" t="s">
        <v>10</v>
      </c>
      <c r="F158" s="46" t="s">
        <v>242</v>
      </c>
    </row>
    <row r="159" spans="1:6" x14ac:dyDescent="0.2">
      <c r="D159" s="47"/>
      <c r="F159" s="46"/>
    </row>
    <row r="160" spans="1:6" x14ac:dyDescent="0.2">
      <c r="C160" s="1">
        <f>C158+C157</f>
        <v>1898</v>
      </c>
      <c r="D160" s="47" t="s">
        <v>10</v>
      </c>
      <c r="F160" s="46" t="s">
        <v>191</v>
      </c>
    </row>
    <row r="161" spans="1:6" x14ac:dyDescent="0.2">
      <c r="F161" s="2"/>
    </row>
    <row r="162" spans="1:6" x14ac:dyDescent="0.2">
      <c r="A162" s="61">
        <v>840</v>
      </c>
      <c r="B162" s="61">
        <v>25020</v>
      </c>
      <c r="C162" s="61">
        <f>C164</f>
        <v>0</v>
      </c>
      <c r="D162" s="61" t="s">
        <v>10</v>
      </c>
      <c r="E162" s="61"/>
      <c r="F162" s="58" t="s">
        <v>79</v>
      </c>
    </row>
    <row r="163" spans="1:6" x14ac:dyDescent="0.2">
      <c r="F163" s="2"/>
    </row>
    <row r="164" spans="1:6" x14ac:dyDescent="0.2">
      <c r="C164" s="1">
        <v>0</v>
      </c>
      <c r="D164" s="1" t="s">
        <v>10</v>
      </c>
      <c r="F164" s="46" t="s">
        <v>174</v>
      </c>
    </row>
    <row r="165" spans="1:6" x14ac:dyDescent="0.2">
      <c r="F165" s="2"/>
    </row>
    <row r="166" spans="1:6" x14ac:dyDescent="0.2">
      <c r="A166" s="70">
        <v>840</v>
      </c>
      <c r="B166" s="70">
        <v>26000</v>
      </c>
      <c r="C166" s="70">
        <f>ROUNDUP(C171,)</f>
        <v>1727</v>
      </c>
      <c r="D166" s="66" t="s">
        <v>10</v>
      </c>
      <c r="E166" s="71"/>
      <c r="F166" s="58" t="s">
        <v>80</v>
      </c>
    </row>
    <row r="167" spans="1:6" x14ac:dyDescent="0.2">
      <c r="F167" s="2"/>
    </row>
    <row r="168" spans="1:6" ht="15" x14ac:dyDescent="0.25">
      <c r="C168" s="64">
        <v>981</v>
      </c>
      <c r="D168" s="1" t="s">
        <v>10</v>
      </c>
      <c r="F168" s="46" t="s">
        <v>241</v>
      </c>
    </row>
    <row r="169" spans="1:6" ht="15" x14ac:dyDescent="0.25">
      <c r="C169" s="64">
        <v>746</v>
      </c>
      <c r="D169" s="1" t="s">
        <v>10</v>
      </c>
      <c r="F169" s="46" t="s">
        <v>242</v>
      </c>
    </row>
    <row r="170" spans="1:6" x14ac:dyDescent="0.2">
      <c r="C170"/>
      <c r="F170" s="46"/>
    </row>
    <row r="171" spans="1:6" x14ac:dyDescent="0.2">
      <c r="C171" s="1">
        <f>C168+C169</f>
        <v>1727</v>
      </c>
      <c r="D171" s="1" t="s">
        <v>10</v>
      </c>
      <c r="F171" s="46" t="s">
        <v>1</v>
      </c>
    </row>
    <row r="172" spans="1:6" x14ac:dyDescent="0.2">
      <c r="F172" s="2"/>
    </row>
    <row r="173" spans="1:6" x14ac:dyDescent="0.2">
      <c r="A173" s="70">
        <v>840</v>
      </c>
      <c r="B173" s="70">
        <v>26050</v>
      </c>
      <c r="C173" s="70">
        <f>ROUNDUP(C175,)</f>
        <v>43888</v>
      </c>
      <c r="D173" s="66" t="s">
        <v>11</v>
      </c>
      <c r="E173" s="71"/>
      <c r="F173" s="58" t="s">
        <v>85</v>
      </c>
    </row>
    <row r="174" spans="1:6" x14ac:dyDescent="0.2">
      <c r="F174" s="2"/>
    </row>
    <row r="175" spans="1:6" ht="15" x14ac:dyDescent="0.25">
      <c r="C175" s="64">
        <v>43888</v>
      </c>
      <c r="D175" s="47" t="s">
        <v>11</v>
      </c>
      <c r="F175" s="46" t="s">
        <v>173</v>
      </c>
    </row>
    <row r="176" spans="1:6" x14ac:dyDescent="0.2">
      <c r="F176" s="2"/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opLeftCell="A46" zoomScale="130" zoomScaleNormal="130" workbookViewId="0">
      <selection activeCell="A60" sqref="A60:F71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6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61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464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C46</f>
        <v>116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/>
      <c r="E10" s="51" t="s">
        <v>6</v>
      </c>
      <c r="F10" s="51" t="s">
        <v>198</v>
      </c>
      <c r="G10" s="43"/>
    </row>
    <row r="11" spans="1:7" x14ac:dyDescent="0.2">
      <c r="A11" s="7"/>
      <c r="B11" s="37">
        <v>203</v>
      </c>
      <c r="C11" s="7">
        <v>98500</v>
      </c>
      <c r="D11" s="43" t="s">
        <v>8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C52</f>
        <v>2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v>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C86</f>
        <v>255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C99</f>
        <v>1846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C103</f>
        <v>743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C139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C144</f>
        <v>1034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C197</f>
        <v>160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C204</f>
        <v>25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C208</f>
        <v>135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C213</f>
        <v>1846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ROUNDUP(C43/27,)</f>
        <v>464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3131</v>
      </c>
      <c r="D41" s="47" t="s">
        <v>11</v>
      </c>
      <c r="F41" s="46" t="s">
        <v>96</v>
      </c>
    </row>
    <row r="42" spans="1:7" ht="15" x14ac:dyDescent="0.25">
      <c r="A42" s="24"/>
      <c r="B42" s="24"/>
      <c r="C42" s="64">
        <v>4</v>
      </c>
      <c r="D42" s="47" t="s">
        <v>10</v>
      </c>
      <c r="F42" s="46" t="s">
        <v>97</v>
      </c>
    </row>
    <row r="43" spans="1:7" x14ac:dyDescent="0.2">
      <c r="A43" s="24"/>
      <c r="B43" s="24"/>
      <c r="C43" s="1">
        <f>C42*C41</f>
        <v>12524</v>
      </c>
      <c r="D43" s="47" t="s">
        <v>98</v>
      </c>
      <c r="F43" s="46" t="s">
        <v>99</v>
      </c>
    </row>
    <row r="44" spans="1:7" x14ac:dyDescent="0.2">
      <c r="A44" s="24"/>
      <c r="B44" s="24"/>
      <c r="C44" s="24"/>
      <c r="D44" s="24"/>
      <c r="E44" s="24"/>
      <c r="F44" s="26"/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61">
        <v>203</v>
      </c>
      <c r="B46" s="61">
        <v>35120</v>
      </c>
      <c r="C46" s="61">
        <f>ROUNDUP(C50/27,)</f>
        <v>116</v>
      </c>
      <c r="D46" s="62" t="s">
        <v>6</v>
      </c>
      <c r="E46" s="61"/>
      <c r="F46" s="67" t="s">
        <v>95</v>
      </c>
    </row>
    <row r="47" spans="1:7" x14ac:dyDescent="0.2">
      <c r="F47" s="2"/>
    </row>
    <row r="48" spans="1:7" ht="15" x14ac:dyDescent="0.25">
      <c r="C48" s="64">
        <v>3131</v>
      </c>
      <c r="D48" s="47" t="s">
        <v>11</v>
      </c>
      <c r="F48" s="46" t="s">
        <v>96</v>
      </c>
    </row>
    <row r="49" spans="1:6" ht="15" x14ac:dyDescent="0.25">
      <c r="C49" s="64">
        <v>1</v>
      </c>
      <c r="D49" s="47" t="s">
        <v>10</v>
      </c>
      <c r="F49" s="46" t="s">
        <v>97</v>
      </c>
    </row>
    <row r="50" spans="1:6" x14ac:dyDescent="0.2">
      <c r="C50" s="1">
        <f>C49*C48</f>
        <v>3131</v>
      </c>
      <c r="D50" s="47" t="s">
        <v>98</v>
      </c>
      <c r="F50" s="46" t="s">
        <v>99</v>
      </c>
    </row>
    <row r="51" spans="1:6" x14ac:dyDescent="0.2">
      <c r="F51" s="2"/>
    </row>
    <row r="52" spans="1:6" x14ac:dyDescent="0.2">
      <c r="A52" s="74" t="s">
        <v>7</v>
      </c>
      <c r="B52" s="70">
        <v>20365000</v>
      </c>
      <c r="C52" s="70">
        <f>C54</f>
        <v>2</v>
      </c>
      <c r="D52" s="66" t="s">
        <v>37</v>
      </c>
      <c r="E52" s="71"/>
      <c r="F52" s="58" t="s">
        <v>71</v>
      </c>
    </row>
    <row r="53" spans="1:6" x14ac:dyDescent="0.2">
      <c r="F53" s="2"/>
    </row>
    <row r="54" spans="1:6" ht="15" x14ac:dyDescent="0.25">
      <c r="C54" s="64">
        <v>2</v>
      </c>
      <c r="D54" s="47" t="s">
        <v>37</v>
      </c>
      <c r="F54" s="46" t="s">
        <v>192</v>
      </c>
    </row>
    <row r="55" spans="1:6" x14ac:dyDescent="0.2">
      <c r="F55" s="2"/>
    </row>
    <row r="56" spans="1:6" x14ac:dyDescent="0.2">
      <c r="A56" s="61">
        <v>511</v>
      </c>
      <c r="B56" s="61">
        <v>71200</v>
      </c>
      <c r="C56" s="61">
        <f>ROUNDUP(C58,)</f>
        <v>1846</v>
      </c>
      <c r="D56" s="62" t="s">
        <v>11</v>
      </c>
      <c r="E56" s="61"/>
      <c r="F56" s="67" t="s">
        <v>92</v>
      </c>
    </row>
    <row r="57" spans="1:6" x14ac:dyDescent="0.2">
      <c r="F57" s="2"/>
    </row>
    <row r="58" spans="1:6" x14ac:dyDescent="0.2">
      <c r="C58" s="1">
        <v>1846</v>
      </c>
      <c r="F58" s="46" t="s">
        <v>207</v>
      </c>
    </row>
    <row r="59" spans="1:6" x14ac:dyDescent="0.2">
      <c r="F59" s="2"/>
    </row>
    <row r="60" spans="1:6" x14ac:dyDescent="0.2">
      <c r="A60" s="80">
        <v>511</v>
      </c>
      <c r="B60" s="80">
        <v>81100</v>
      </c>
      <c r="C60" s="80">
        <f>ROUNDUP(C71,)</f>
        <v>135</v>
      </c>
      <c r="D60" s="80" t="s">
        <v>10</v>
      </c>
      <c r="E60" s="80"/>
      <c r="F60" s="81" t="s">
        <v>93</v>
      </c>
    </row>
    <row r="61" spans="1:6" x14ac:dyDescent="0.2">
      <c r="A61" s="75"/>
      <c r="B61" s="75"/>
      <c r="C61" s="75"/>
      <c r="D61" s="75"/>
      <c r="E61" s="75"/>
      <c r="F61" s="76"/>
    </row>
    <row r="62" spans="1:6" ht="15" x14ac:dyDescent="0.25">
      <c r="A62" s="75"/>
      <c r="B62" s="75"/>
      <c r="C62" s="78">
        <v>9.35</v>
      </c>
      <c r="D62" s="75" t="s">
        <v>10</v>
      </c>
      <c r="E62" s="75"/>
      <c r="F62" s="76" t="s">
        <v>108</v>
      </c>
    </row>
    <row r="63" spans="1:6" ht="15" x14ac:dyDescent="0.25">
      <c r="A63" s="75"/>
      <c r="B63" s="75"/>
      <c r="C63" s="78">
        <v>10</v>
      </c>
      <c r="D63" s="75" t="s">
        <v>10</v>
      </c>
      <c r="E63" s="75"/>
      <c r="F63" s="76" t="s">
        <v>109</v>
      </c>
    </row>
    <row r="64" spans="1:6" ht="15" x14ac:dyDescent="0.25">
      <c r="A64" s="75"/>
      <c r="B64" s="75"/>
      <c r="C64" s="78">
        <v>30</v>
      </c>
      <c r="D64" s="75" t="s">
        <v>10</v>
      </c>
      <c r="E64" s="75"/>
      <c r="F64" s="76" t="s">
        <v>110</v>
      </c>
    </row>
    <row r="65" spans="1:6" ht="15" x14ac:dyDescent="0.25">
      <c r="A65" s="75"/>
      <c r="B65" s="75"/>
      <c r="C65" s="78">
        <v>45</v>
      </c>
      <c r="D65" s="75" t="s">
        <v>10</v>
      </c>
      <c r="E65" s="75"/>
      <c r="F65" s="76" t="s">
        <v>111</v>
      </c>
    </row>
    <row r="66" spans="1:6" ht="15" x14ac:dyDescent="0.25">
      <c r="A66" s="75"/>
      <c r="B66" s="75"/>
      <c r="C66" s="78">
        <v>10</v>
      </c>
      <c r="D66" s="75" t="s">
        <v>10</v>
      </c>
      <c r="E66" s="75"/>
      <c r="F66" s="76" t="s">
        <v>112</v>
      </c>
    </row>
    <row r="67" spans="1:6" ht="15" x14ac:dyDescent="0.25">
      <c r="A67" s="75"/>
      <c r="B67" s="75"/>
      <c r="C67" s="78">
        <v>10</v>
      </c>
      <c r="D67" s="75" t="s">
        <v>10</v>
      </c>
      <c r="E67" s="75"/>
      <c r="F67" s="76" t="s">
        <v>113</v>
      </c>
    </row>
    <row r="68" spans="1:6" ht="15" x14ac:dyDescent="0.25">
      <c r="A68" s="75"/>
      <c r="B68" s="75"/>
      <c r="C68" s="78">
        <v>10</v>
      </c>
      <c r="D68" s="75" t="s">
        <v>10</v>
      </c>
      <c r="E68" s="75"/>
      <c r="F68" s="76" t="s">
        <v>114</v>
      </c>
    </row>
    <row r="69" spans="1:6" ht="15" x14ac:dyDescent="0.25">
      <c r="A69" s="75"/>
      <c r="B69" s="75"/>
      <c r="C69" s="78">
        <v>9.92</v>
      </c>
      <c r="D69" s="75" t="s">
        <v>10</v>
      </c>
      <c r="E69" s="75"/>
      <c r="F69" s="76" t="s">
        <v>115</v>
      </c>
    </row>
    <row r="70" spans="1:6" x14ac:dyDescent="0.2">
      <c r="A70" s="75"/>
      <c r="B70" s="75"/>
      <c r="C70" s="75"/>
      <c r="D70" s="75"/>
      <c r="E70" s="75"/>
      <c r="F70" s="76"/>
    </row>
    <row r="71" spans="1:6" x14ac:dyDescent="0.2">
      <c r="A71" s="75"/>
      <c r="B71" s="75"/>
      <c r="C71" s="75">
        <f>SUM(C62:C69)</f>
        <v>134.26999999999998</v>
      </c>
      <c r="D71" s="75" t="s">
        <v>10</v>
      </c>
      <c r="E71" s="75"/>
      <c r="F71" s="76" t="s">
        <v>127</v>
      </c>
    </row>
    <row r="72" spans="1:6" x14ac:dyDescent="0.2">
      <c r="F72" s="2"/>
    </row>
    <row r="73" spans="1:6" x14ac:dyDescent="0.2">
      <c r="A73" s="61">
        <v>512</v>
      </c>
      <c r="B73" s="61">
        <v>10001</v>
      </c>
      <c r="C73" s="61">
        <f>ROUNDUP(C84/9,)</f>
        <v>255</v>
      </c>
      <c r="D73" s="61" t="s">
        <v>9</v>
      </c>
      <c r="E73" s="61"/>
      <c r="F73" s="58" t="s">
        <v>87</v>
      </c>
    </row>
    <row r="74" spans="1:6" x14ac:dyDescent="0.2">
      <c r="F74" s="77" t="s">
        <v>248</v>
      </c>
    </row>
    <row r="75" spans="1:6" x14ac:dyDescent="0.2">
      <c r="C75" s="75">
        <v>1846</v>
      </c>
      <c r="D75" s="75" t="s">
        <v>11</v>
      </c>
      <c r="E75" s="75"/>
      <c r="F75" s="76" t="s">
        <v>128</v>
      </c>
    </row>
    <row r="76" spans="1:6" x14ac:dyDescent="0.2">
      <c r="C76" s="75"/>
      <c r="D76" s="75"/>
      <c r="E76" s="75"/>
      <c r="F76" s="76"/>
    </row>
    <row r="77" spans="1:6" x14ac:dyDescent="0.2">
      <c r="C77" s="75">
        <v>2</v>
      </c>
      <c r="D77" s="75" t="s">
        <v>10</v>
      </c>
      <c r="E77" s="75"/>
      <c r="F77" s="76" t="s">
        <v>129</v>
      </c>
    </row>
    <row r="78" spans="1:6" x14ac:dyDescent="0.2">
      <c r="C78" s="75">
        <v>0.83</v>
      </c>
      <c r="D78" s="75" t="s">
        <v>10</v>
      </c>
      <c r="E78" s="75"/>
      <c r="F78" s="76" t="s">
        <v>130</v>
      </c>
    </row>
    <row r="79" spans="1:6" x14ac:dyDescent="0.2">
      <c r="C79" s="75">
        <v>0.5</v>
      </c>
      <c r="D79" s="75" t="s">
        <v>10</v>
      </c>
      <c r="E79" s="75"/>
      <c r="F79" s="76" t="s">
        <v>131</v>
      </c>
    </row>
    <row r="80" spans="1:6" x14ac:dyDescent="0.2">
      <c r="C80" s="75">
        <v>134.27000000000001</v>
      </c>
      <c r="D80" s="75" t="s">
        <v>10</v>
      </c>
      <c r="E80" s="75"/>
      <c r="F80" s="76" t="s">
        <v>132</v>
      </c>
    </row>
    <row r="81" spans="1:6" x14ac:dyDescent="0.2">
      <c r="C81" s="75"/>
      <c r="D81" s="75"/>
      <c r="E81" s="75"/>
      <c r="F81" s="76"/>
    </row>
    <row r="82" spans="1:6" x14ac:dyDescent="0.2">
      <c r="C82" s="75">
        <f>(C77+C78+C79)*C80</f>
        <v>447.11910000000006</v>
      </c>
      <c r="D82" s="75" t="s">
        <v>11</v>
      </c>
      <c r="E82" s="75"/>
      <c r="F82" s="76" t="s">
        <v>133</v>
      </c>
    </row>
    <row r="83" spans="1:6" x14ac:dyDescent="0.2">
      <c r="C83" s="75"/>
      <c r="D83" s="75"/>
      <c r="E83" s="75"/>
      <c r="F83" s="76"/>
    </row>
    <row r="84" spans="1:6" x14ac:dyDescent="0.2">
      <c r="C84" s="75">
        <f>C75+C82</f>
        <v>2293.1190999999999</v>
      </c>
      <c r="D84" s="75" t="s">
        <v>11</v>
      </c>
      <c r="E84" s="75"/>
      <c r="F84" s="76" t="s">
        <v>134</v>
      </c>
    </row>
    <row r="85" spans="1:6" x14ac:dyDescent="0.2">
      <c r="F85" s="2"/>
    </row>
    <row r="86" spans="1:6" x14ac:dyDescent="0.2">
      <c r="A86" s="61">
        <v>512</v>
      </c>
      <c r="B86" s="61">
        <v>10100</v>
      </c>
      <c r="C86" s="61">
        <f>ROUNDUP(C97/9,)</f>
        <v>255</v>
      </c>
      <c r="D86" s="61" t="s">
        <v>9</v>
      </c>
      <c r="E86" s="61"/>
      <c r="F86" s="58" t="s">
        <v>88</v>
      </c>
    </row>
    <row r="87" spans="1:6" x14ac:dyDescent="0.2">
      <c r="F87" s="2"/>
    </row>
    <row r="88" spans="1:6" x14ac:dyDescent="0.2">
      <c r="C88" s="1">
        <v>1846</v>
      </c>
      <c r="D88" s="1" t="s">
        <v>11</v>
      </c>
      <c r="F88" s="2" t="s">
        <v>128</v>
      </c>
    </row>
    <row r="89" spans="1:6" x14ac:dyDescent="0.2">
      <c r="F89" s="2"/>
    </row>
    <row r="90" spans="1:6" x14ac:dyDescent="0.2">
      <c r="C90" s="1">
        <v>2</v>
      </c>
      <c r="D90" s="1" t="s">
        <v>10</v>
      </c>
      <c r="F90" s="2" t="s">
        <v>129</v>
      </c>
    </row>
    <row r="91" spans="1:6" x14ac:dyDescent="0.2">
      <c r="C91" s="1">
        <v>0.83</v>
      </c>
      <c r="D91" s="1" t="s">
        <v>10</v>
      </c>
      <c r="F91" s="2" t="s">
        <v>130</v>
      </c>
    </row>
    <row r="92" spans="1:6" x14ac:dyDescent="0.2">
      <c r="C92" s="1">
        <v>0.5</v>
      </c>
      <c r="D92" s="1" t="s">
        <v>10</v>
      </c>
      <c r="F92" s="2" t="s">
        <v>131</v>
      </c>
    </row>
    <row r="93" spans="1:6" x14ac:dyDescent="0.2">
      <c r="C93" s="1">
        <v>134.27000000000001</v>
      </c>
      <c r="D93" s="1" t="s">
        <v>10</v>
      </c>
      <c r="F93" s="2" t="s">
        <v>132</v>
      </c>
    </row>
    <row r="94" spans="1:6" x14ac:dyDescent="0.2">
      <c r="F94" s="2"/>
    </row>
    <row r="95" spans="1:6" x14ac:dyDescent="0.2">
      <c r="C95" s="1">
        <f>(C90+C91+C92)*C93</f>
        <v>447.11910000000006</v>
      </c>
      <c r="D95" s="1" t="s">
        <v>11</v>
      </c>
      <c r="F95" s="2" t="s">
        <v>133</v>
      </c>
    </row>
    <row r="96" spans="1:6" x14ac:dyDescent="0.2">
      <c r="F96" s="2"/>
    </row>
    <row r="97" spans="1:6" x14ac:dyDescent="0.2">
      <c r="C97" s="1">
        <f>C88+C95</f>
        <v>2293.1190999999999</v>
      </c>
      <c r="D97" s="1" t="s">
        <v>11</v>
      </c>
      <c r="F97" s="2" t="s">
        <v>134</v>
      </c>
    </row>
    <row r="98" spans="1:6" x14ac:dyDescent="0.2">
      <c r="F98" s="2"/>
    </row>
    <row r="99" spans="1:6" x14ac:dyDescent="0.2">
      <c r="A99" s="61">
        <v>840</v>
      </c>
      <c r="B99" s="61">
        <v>20001</v>
      </c>
      <c r="C99" s="61">
        <f>ROUNDUP(C101,)</f>
        <v>1846</v>
      </c>
      <c r="D99" s="61" t="s">
        <v>11</v>
      </c>
      <c r="E99" s="61"/>
      <c r="F99" s="58" t="s">
        <v>73</v>
      </c>
    </row>
    <row r="100" spans="1:6" x14ac:dyDescent="0.2">
      <c r="F100" s="2"/>
    </row>
    <row r="101" spans="1:6" x14ac:dyDescent="0.2">
      <c r="C101" s="1">
        <v>1846</v>
      </c>
      <c r="D101" s="1" t="s">
        <v>11</v>
      </c>
      <c r="F101" s="46" t="s">
        <v>208</v>
      </c>
    </row>
    <row r="102" spans="1:6" x14ac:dyDescent="0.2">
      <c r="F102" s="2"/>
    </row>
    <row r="103" spans="1:6" x14ac:dyDescent="0.2">
      <c r="A103" s="61">
        <v>840</v>
      </c>
      <c r="B103" s="61">
        <v>21000</v>
      </c>
      <c r="C103" s="61">
        <f>ROUNDUP(C137/27,)</f>
        <v>743</v>
      </c>
      <c r="D103" s="61" t="s">
        <v>6</v>
      </c>
      <c r="E103" s="61"/>
      <c r="F103" s="69" t="s">
        <v>74</v>
      </c>
    </row>
    <row r="104" spans="1:6" x14ac:dyDescent="0.2">
      <c r="F104" s="2"/>
    </row>
    <row r="105" spans="1:6" ht="15" x14ac:dyDescent="0.25">
      <c r="C105" s="64">
        <v>95.4</v>
      </c>
      <c r="D105" s="1" t="s">
        <v>11</v>
      </c>
      <c r="F105" s="2" t="s">
        <v>135</v>
      </c>
    </row>
    <row r="106" spans="1:6" ht="15" x14ac:dyDescent="0.25">
      <c r="C106" s="64">
        <v>28.707999999999998</v>
      </c>
      <c r="D106" s="1" t="s">
        <v>10</v>
      </c>
      <c r="F106" s="2" t="s">
        <v>136</v>
      </c>
    </row>
    <row r="107" spans="1:6" x14ac:dyDescent="0.2">
      <c r="C107" s="1">
        <f>C105*C106</f>
        <v>2738.7431999999999</v>
      </c>
      <c r="D107" s="1" t="s">
        <v>98</v>
      </c>
      <c r="F107" s="2" t="s">
        <v>137</v>
      </c>
    </row>
    <row r="108" spans="1:6" x14ac:dyDescent="0.2">
      <c r="F108" s="2"/>
    </row>
    <row r="109" spans="1:6" ht="15" x14ac:dyDescent="0.25">
      <c r="C109" s="64">
        <v>82.47</v>
      </c>
      <c r="D109" s="1" t="s">
        <v>11</v>
      </c>
      <c r="F109" s="2" t="s">
        <v>138</v>
      </c>
    </row>
    <row r="110" spans="1:6" ht="15" x14ac:dyDescent="0.25">
      <c r="C110" s="64">
        <v>27</v>
      </c>
      <c r="D110" s="1" t="s">
        <v>10</v>
      </c>
      <c r="F110" s="2" t="s">
        <v>139</v>
      </c>
    </row>
    <row r="111" spans="1:6" x14ac:dyDescent="0.2">
      <c r="C111" s="1">
        <f>C109*C110</f>
        <v>2226.69</v>
      </c>
      <c r="D111" s="1" t="s">
        <v>98</v>
      </c>
      <c r="F111" s="2" t="s">
        <v>140</v>
      </c>
    </row>
    <row r="112" spans="1:6" x14ac:dyDescent="0.2">
      <c r="F112" s="2"/>
    </row>
    <row r="113" spans="3:6" ht="15" x14ac:dyDescent="0.25">
      <c r="C113" s="64">
        <v>187.28</v>
      </c>
      <c r="D113" s="1" t="s">
        <v>11</v>
      </c>
      <c r="F113" s="2" t="s">
        <v>141</v>
      </c>
    </row>
    <row r="114" spans="3:6" ht="15" x14ac:dyDescent="0.25">
      <c r="C114" s="64">
        <v>25.21</v>
      </c>
      <c r="D114" s="1" t="s">
        <v>10</v>
      </c>
      <c r="F114" s="2" t="s">
        <v>142</v>
      </c>
    </row>
    <row r="115" spans="3:6" x14ac:dyDescent="0.2">
      <c r="C115" s="1">
        <f>C113*C114</f>
        <v>4721.3288000000002</v>
      </c>
      <c r="D115" s="1" t="s">
        <v>98</v>
      </c>
      <c r="F115" s="2" t="s">
        <v>143</v>
      </c>
    </row>
    <row r="116" spans="3:6" x14ac:dyDescent="0.2">
      <c r="F116" s="2"/>
    </row>
    <row r="117" spans="3:6" ht="15" x14ac:dyDescent="0.25">
      <c r="C117" s="64">
        <v>213.34</v>
      </c>
      <c r="D117" s="1" t="s">
        <v>11</v>
      </c>
      <c r="F117" s="2" t="s">
        <v>144</v>
      </c>
    </row>
    <row r="118" spans="3:6" ht="15" x14ac:dyDescent="0.25">
      <c r="C118" s="64">
        <v>23.46</v>
      </c>
      <c r="D118" s="1" t="s">
        <v>10</v>
      </c>
      <c r="F118" s="2" t="s">
        <v>145</v>
      </c>
    </row>
    <row r="119" spans="3:6" x14ac:dyDescent="0.2">
      <c r="C119" s="1">
        <f>C117*C118</f>
        <v>5004.9564</v>
      </c>
      <c r="D119" s="1" t="s">
        <v>98</v>
      </c>
      <c r="F119" s="2" t="s">
        <v>146</v>
      </c>
    </row>
    <row r="120" spans="3:6" x14ac:dyDescent="0.2">
      <c r="F120" s="2"/>
    </row>
    <row r="121" spans="3:6" ht="15" x14ac:dyDescent="0.25">
      <c r="C121" s="64">
        <v>69.239999999999995</v>
      </c>
      <c r="D121" s="1" t="s">
        <v>11</v>
      </c>
      <c r="F121" s="2" t="s">
        <v>147</v>
      </c>
    </row>
    <row r="122" spans="3:6" ht="15" x14ac:dyDescent="0.25">
      <c r="C122" s="64">
        <v>21.71</v>
      </c>
      <c r="D122" s="1" t="s">
        <v>10</v>
      </c>
      <c r="F122" s="2" t="s">
        <v>148</v>
      </c>
    </row>
    <row r="123" spans="3:6" x14ac:dyDescent="0.2">
      <c r="C123" s="1">
        <f>C121*C122</f>
        <v>1503.2003999999999</v>
      </c>
      <c r="D123" s="1" t="s">
        <v>98</v>
      </c>
      <c r="F123" s="2" t="s">
        <v>149</v>
      </c>
    </row>
    <row r="124" spans="3:6" x14ac:dyDescent="0.2">
      <c r="F124" s="2"/>
    </row>
    <row r="125" spans="3:6" ht="15" x14ac:dyDescent="0.25">
      <c r="C125" s="64">
        <v>72.7</v>
      </c>
      <c r="D125" s="1" t="s">
        <v>11</v>
      </c>
      <c r="F125" s="2" t="s">
        <v>150</v>
      </c>
    </row>
    <row r="126" spans="3:6" ht="15" x14ac:dyDescent="0.25">
      <c r="C126" s="64">
        <v>19.917000000000002</v>
      </c>
      <c r="D126" s="1" t="s">
        <v>10</v>
      </c>
      <c r="F126" s="2" t="s">
        <v>151</v>
      </c>
    </row>
    <row r="127" spans="3:6" x14ac:dyDescent="0.2">
      <c r="C127" s="1">
        <f>C125*C126</f>
        <v>1447.9659000000001</v>
      </c>
      <c r="D127" s="1" t="s">
        <v>98</v>
      </c>
      <c r="F127" s="2" t="s">
        <v>152</v>
      </c>
    </row>
    <row r="128" spans="3:6" x14ac:dyDescent="0.2">
      <c r="F128" s="2"/>
    </row>
    <row r="129" spans="1:6" ht="15" x14ac:dyDescent="0.25">
      <c r="C129" s="64">
        <v>68.92</v>
      </c>
      <c r="D129" s="1" t="s">
        <v>11</v>
      </c>
      <c r="F129" s="2" t="s">
        <v>153</v>
      </c>
    </row>
    <row r="130" spans="1:6" ht="15" x14ac:dyDescent="0.25">
      <c r="C130" s="64">
        <v>18.21</v>
      </c>
      <c r="D130" s="1" t="s">
        <v>10</v>
      </c>
      <c r="F130" s="2" t="s">
        <v>154</v>
      </c>
    </row>
    <row r="131" spans="1:6" x14ac:dyDescent="0.2">
      <c r="C131" s="1">
        <f>C129*C130</f>
        <v>1255.0332000000001</v>
      </c>
      <c r="D131" s="1" t="s">
        <v>98</v>
      </c>
      <c r="F131" s="2" t="s">
        <v>155</v>
      </c>
    </row>
    <row r="132" spans="1:6" x14ac:dyDescent="0.2">
      <c r="F132" s="2"/>
    </row>
    <row r="133" spans="1:6" ht="15" x14ac:dyDescent="0.25">
      <c r="C133" s="64">
        <v>70.28</v>
      </c>
      <c r="D133" s="1" t="s">
        <v>11</v>
      </c>
      <c r="F133" s="2" t="s">
        <v>156</v>
      </c>
    </row>
    <row r="134" spans="1:6" ht="15" x14ac:dyDescent="0.25">
      <c r="C134" s="64">
        <v>16.332999999999998</v>
      </c>
      <c r="D134" s="1" t="s">
        <v>10</v>
      </c>
      <c r="F134" s="2" t="s">
        <v>157</v>
      </c>
    </row>
    <row r="135" spans="1:6" x14ac:dyDescent="0.2">
      <c r="C135" s="1">
        <f>C133*C134</f>
        <v>1147.8832399999999</v>
      </c>
      <c r="D135" s="1" t="s">
        <v>98</v>
      </c>
      <c r="F135" s="2" t="s">
        <v>158</v>
      </c>
    </row>
    <row r="136" spans="1:6" x14ac:dyDescent="0.2">
      <c r="F136" s="2"/>
    </row>
    <row r="137" spans="1:6" x14ac:dyDescent="0.2">
      <c r="C137" s="1">
        <f>C107+C111+C115+C119+C123+C127+C131+C135</f>
        <v>20045.80114</v>
      </c>
      <c r="D137" s="1" t="s">
        <v>98</v>
      </c>
      <c r="F137" s="2" t="s">
        <v>159</v>
      </c>
    </row>
    <row r="138" spans="1:6" x14ac:dyDescent="0.2">
      <c r="F138" s="2"/>
    </row>
    <row r="139" spans="1:6" x14ac:dyDescent="0.2">
      <c r="A139" s="61">
        <v>840</v>
      </c>
      <c r="B139" s="61">
        <v>22000</v>
      </c>
      <c r="C139" s="61">
        <f>ROUNDUP(C141/9,)</f>
        <v>0</v>
      </c>
      <c r="D139" s="61" t="s">
        <v>9</v>
      </c>
      <c r="E139" s="61"/>
      <c r="F139" s="69" t="s">
        <v>75</v>
      </c>
    </row>
    <row r="140" spans="1:6" x14ac:dyDescent="0.2">
      <c r="F140" s="2"/>
    </row>
    <row r="141" spans="1:6" x14ac:dyDescent="0.2">
      <c r="C141" s="1">
        <v>0</v>
      </c>
      <c r="D141" s="1" t="s">
        <v>11</v>
      </c>
      <c r="F141" s="2"/>
    </row>
    <row r="142" spans="1:6" x14ac:dyDescent="0.2">
      <c r="F142" s="2"/>
    </row>
    <row r="143" spans="1:6" x14ac:dyDescent="0.2">
      <c r="F143" s="2"/>
    </row>
    <row r="144" spans="1:6" x14ac:dyDescent="0.2">
      <c r="A144" s="61">
        <v>840</v>
      </c>
      <c r="B144" s="61">
        <v>23000</v>
      </c>
      <c r="C144" s="61">
        <f>ROUNDUP(C195/27,)</f>
        <v>1034</v>
      </c>
      <c r="D144" s="62" t="s">
        <v>6</v>
      </c>
      <c r="E144" s="61"/>
      <c r="F144" s="67" t="s">
        <v>76</v>
      </c>
    </row>
    <row r="145" spans="3:6" x14ac:dyDescent="0.2">
      <c r="F145" s="2"/>
    </row>
    <row r="146" spans="3:6" x14ac:dyDescent="0.2">
      <c r="F146" s="2"/>
    </row>
    <row r="147" spans="3:6" ht="15" x14ac:dyDescent="0.25">
      <c r="C147" s="64">
        <v>711.85</v>
      </c>
      <c r="D147" s="47" t="s">
        <v>10</v>
      </c>
      <c r="F147" s="46" t="s">
        <v>100</v>
      </c>
    </row>
    <row r="148" spans="3:6" ht="15" x14ac:dyDescent="0.25">
      <c r="C148" s="64">
        <f>735-C147</f>
        <v>23.149999999999977</v>
      </c>
      <c r="D148" s="47" t="s">
        <v>10</v>
      </c>
      <c r="F148" s="46" t="s">
        <v>116</v>
      </c>
    </row>
    <row r="149" spans="3:6" ht="15" x14ac:dyDescent="0.25">
      <c r="C149" s="64">
        <v>9.35</v>
      </c>
      <c r="D149" s="47" t="s">
        <v>10</v>
      </c>
      <c r="F149" s="46" t="s">
        <v>108</v>
      </c>
    </row>
    <row r="150" spans="3:6" x14ac:dyDescent="0.2">
      <c r="C150" s="1">
        <f>(0.7*C148)+2</f>
        <v>18.204999999999984</v>
      </c>
      <c r="D150" s="47" t="s">
        <v>10</v>
      </c>
      <c r="F150" s="46" t="s">
        <v>124</v>
      </c>
    </row>
    <row r="151" spans="3:6" x14ac:dyDescent="0.2">
      <c r="C151" s="1">
        <f>C150*C149*C148</f>
        <v>3940.5177624999928</v>
      </c>
      <c r="D151" s="65" t="s">
        <v>98</v>
      </c>
      <c r="F151" s="46" t="s">
        <v>99</v>
      </c>
    </row>
    <row r="152" spans="3:6" x14ac:dyDescent="0.2">
      <c r="D152" s="47"/>
      <c r="F152" s="46"/>
    </row>
    <row r="153" spans="3:6" ht="15" x14ac:dyDescent="0.25">
      <c r="C153" s="64">
        <v>714.35</v>
      </c>
      <c r="D153" s="47" t="s">
        <v>10</v>
      </c>
      <c r="F153" s="46" t="s">
        <v>101</v>
      </c>
    </row>
    <row r="154" spans="3:6" ht="15" x14ac:dyDescent="0.25">
      <c r="C154" s="64">
        <f>735-C153</f>
        <v>20.649999999999977</v>
      </c>
      <c r="D154" s="47" t="s">
        <v>10</v>
      </c>
      <c r="F154" s="46" t="s">
        <v>117</v>
      </c>
    </row>
    <row r="155" spans="3:6" ht="15" x14ac:dyDescent="0.25">
      <c r="C155" s="64">
        <v>10</v>
      </c>
      <c r="D155" s="47" t="s">
        <v>10</v>
      </c>
      <c r="F155" s="46" t="s">
        <v>109</v>
      </c>
    </row>
    <row r="156" spans="3:6" x14ac:dyDescent="0.2">
      <c r="C156" s="1">
        <f>(0.7*C154)+2</f>
        <v>16.454999999999984</v>
      </c>
      <c r="D156" s="65" t="s">
        <v>10</v>
      </c>
      <c r="F156" s="46" t="s">
        <v>124</v>
      </c>
    </row>
    <row r="157" spans="3:6" x14ac:dyDescent="0.2">
      <c r="C157" s="1">
        <f>C154*C155*C156</f>
        <v>3397.9574999999932</v>
      </c>
      <c r="D157" s="65" t="s">
        <v>98</v>
      </c>
      <c r="F157" s="46" t="s">
        <v>99</v>
      </c>
    </row>
    <row r="158" spans="3:6" x14ac:dyDescent="0.2">
      <c r="D158" s="47"/>
      <c r="F158" s="46"/>
    </row>
    <row r="159" spans="3:6" ht="15" x14ac:dyDescent="0.25">
      <c r="C159" s="64">
        <v>716.85</v>
      </c>
      <c r="D159" s="47" t="s">
        <v>10</v>
      </c>
      <c r="F159" s="46" t="s">
        <v>102</v>
      </c>
    </row>
    <row r="160" spans="3:6" ht="15" x14ac:dyDescent="0.25">
      <c r="C160" s="64">
        <f>735-C159</f>
        <v>18.149999999999977</v>
      </c>
      <c r="D160" s="47" t="s">
        <v>10</v>
      </c>
      <c r="F160" s="46" t="s">
        <v>118</v>
      </c>
    </row>
    <row r="161" spans="3:6" ht="15" x14ac:dyDescent="0.25">
      <c r="C161" s="64">
        <v>30</v>
      </c>
      <c r="D161" s="47" t="s">
        <v>10</v>
      </c>
      <c r="F161" s="46" t="s">
        <v>110</v>
      </c>
    </row>
    <row r="162" spans="3:6" x14ac:dyDescent="0.2">
      <c r="C162" s="1">
        <f>(0.7*C160)+2</f>
        <v>14.704999999999984</v>
      </c>
      <c r="D162" s="47" t="s">
        <v>10</v>
      </c>
      <c r="F162" s="46" t="s">
        <v>124</v>
      </c>
    </row>
    <row r="163" spans="3:6" x14ac:dyDescent="0.2">
      <c r="C163" s="1">
        <f>C160*C161*C162</f>
        <v>8006.8724999999813</v>
      </c>
      <c r="D163" s="47" t="s">
        <v>98</v>
      </c>
      <c r="F163" s="46" t="s">
        <v>99</v>
      </c>
    </row>
    <row r="164" spans="3:6" x14ac:dyDescent="0.2">
      <c r="D164" s="47"/>
      <c r="F164" s="46"/>
    </row>
    <row r="165" spans="3:6" ht="15" x14ac:dyDescent="0.25">
      <c r="C165" s="64">
        <v>719.35</v>
      </c>
      <c r="D165" s="47" t="s">
        <v>10</v>
      </c>
      <c r="F165" s="46" t="s">
        <v>103</v>
      </c>
    </row>
    <row r="166" spans="3:6" ht="15" x14ac:dyDescent="0.25">
      <c r="C166" s="64">
        <f>735-C165</f>
        <v>15.649999999999977</v>
      </c>
      <c r="D166" s="47" t="s">
        <v>10</v>
      </c>
      <c r="F166" s="46" t="s">
        <v>119</v>
      </c>
    </row>
    <row r="167" spans="3:6" ht="15" x14ac:dyDescent="0.25">
      <c r="C167" s="64">
        <v>45</v>
      </c>
      <c r="D167" s="47" t="s">
        <v>10</v>
      </c>
      <c r="F167" s="46" t="s">
        <v>111</v>
      </c>
    </row>
    <row r="168" spans="3:6" x14ac:dyDescent="0.2">
      <c r="C168" s="1">
        <f>(0.7*C166)+2</f>
        <v>12.954999999999984</v>
      </c>
      <c r="D168" s="47" t="s">
        <v>10</v>
      </c>
      <c r="F168" s="46" t="s">
        <v>124</v>
      </c>
    </row>
    <row r="169" spans="3:6" x14ac:dyDescent="0.2">
      <c r="C169" s="1">
        <f>C166*C167*C168</f>
        <v>9123.5587499999747</v>
      </c>
      <c r="D169" s="47" t="s">
        <v>98</v>
      </c>
      <c r="F169" s="46" t="s">
        <v>99</v>
      </c>
    </row>
    <row r="170" spans="3:6" x14ac:dyDescent="0.2">
      <c r="D170" s="47"/>
      <c r="F170" s="46"/>
    </row>
    <row r="171" spans="3:6" ht="15" x14ac:dyDescent="0.25">
      <c r="C171" s="64">
        <v>721.85</v>
      </c>
      <c r="D171" s="47" t="s">
        <v>10</v>
      </c>
      <c r="F171" s="46" t="s">
        <v>104</v>
      </c>
    </row>
    <row r="172" spans="3:6" ht="15" x14ac:dyDescent="0.25">
      <c r="C172" s="64">
        <f>735-C171</f>
        <v>13.149999999999977</v>
      </c>
      <c r="D172" s="47" t="s">
        <v>10</v>
      </c>
      <c r="F172" s="46" t="s">
        <v>120</v>
      </c>
    </row>
    <row r="173" spans="3:6" ht="15" x14ac:dyDescent="0.25">
      <c r="C173" s="64">
        <v>10</v>
      </c>
      <c r="D173" s="47" t="s">
        <v>10</v>
      </c>
      <c r="F173" s="46" t="s">
        <v>112</v>
      </c>
    </row>
    <row r="174" spans="3:6" x14ac:dyDescent="0.2">
      <c r="C174" s="1">
        <f>(0.7*C172)+2</f>
        <v>11.204999999999984</v>
      </c>
      <c r="D174" s="47" t="s">
        <v>10</v>
      </c>
      <c r="F174" s="46" t="s">
        <v>124</v>
      </c>
    </row>
    <row r="175" spans="3:6" x14ac:dyDescent="0.2">
      <c r="C175" s="1">
        <f>C172*C173*C174</f>
        <v>1473.4574999999954</v>
      </c>
      <c r="D175" s="47" t="s">
        <v>98</v>
      </c>
      <c r="F175" s="46" t="s">
        <v>99</v>
      </c>
    </row>
    <row r="176" spans="3:6" x14ac:dyDescent="0.2">
      <c r="D176" s="47"/>
      <c r="F176" s="46"/>
    </row>
    <row r="177" spans="3:6" ht="15" x14ac:dyDescent="0.25">
      <c r="C177" s="64">
        <v>724.35</v>
      </c>
      <c r="D177" s="47" t="s">
        <v>10</v>
      </c>
      <c r="F177" s="46" t="s">
        <v>105</v>
      </c>
    </row>
    <row r="178" spans="3:6" ht="15" x14ac:dyDescent="0.25">
      <c r="C178" s="64">
        <f>735-C177</f>
        <v>10.649999999999977</v>
      </c>
      <c r="D178" s="47" t="s">
        <v>10</v>
      </c>
      <c r="F178" s="46" t="s">
        <v>121</v>
      </c>
    </row>
    <row r="179" spans="3:6" ht="15" x14ac:dyDescent="0.25">
      <c r="C179" s="64">
        <v>10</v>
      </c>
      <c r="D179" s="47" t="s">
        <v>10</v>
      </c>
      <c r="F179" s="46" t="s">
        <v>113</v>
      </c>
    </row>
    <row r="180" spans="3:6" x14ac:dyDescent="0.2">
      <c r="C180" s="1">
        <f>(0.7*C178)+2</f>
        <v>9.4549999999999841</v>
      </c>
      <c r="D180" s="47" t="s">
        <v>10</v>
      </c>
      <c r="F180" s="46" t="s">
        <v>124</v>
      </c>
    </row>
    <row r="181" spans="3:6" x14ac:dyDescent="0.2">
      <c r="C181" s="1">
        <f>C178*C179*C180</f>
        <v>1006.9574999999961</v>
      </c>
      <c r="D181" s="47" t="s">
        <v>98</v>
      </c>
      <c r="F181" s="46" t="s">
        <v>99</v>
      </c>
    </row>
    <row r="182" spans="3:6" x14ac:dyDescent="0.2">
      <c r="D182" s="47"/>
      <c r="F182" s="46"/>
    </row>
    <row r="183" spans="3:6" ht="15" x14ac:dyDescent="0.25">
      <c r="C183" s="64">
        <v>726.85</v>
      </c>
      <c r="D183" s="47" t="s">
        <v>10</v>
      </c>
      <c r="F183" s="46" t="s">
        <v>106</v>
      </c>
    </row>
    <row r="184" spans="3:6" ht="15" x14ac:dyDescent="0.25">
      <c r="C184" s="64">
        <f>735-C183</f>
        <v>8.1499999999999773</v>
      </c>
      <c r="D184" s="47" t="s">
        <v>10</v>
      </c>
      <c r="F184" s="46" t="s">
        <v>122</v>
      </c>
    </row>
    <row r="185" spans="3:6" ht="15" x14ac:dyDescent="0.25">
      <c r="C185" s="64">
        <v>10</v>
      </c>
      <c r="D185" s="47" t="s">
        <v>10</v>
      </c>
      <c r="F185" s="46" t="s">
        <v>114</v>
      </c>
    </row>
    <row r="186" spans="3:6" x14ac:dyDescent="0.2">
      <c r="C186" s="1">
        <f>(0.7*C184)+2</f>
        <v>7.7049999999999841</v>
      </c>
      <c r="D186" s="47" t="s">
        <v>10</v>
      </c>
      <c r="F186" s="46" t="s">
        <v>124</v>
      </c>
    </row>
    <row r="187" spans="3:6" x14ac:dyDescent="0.2">
      <c r="C187" s="1">
        <f>C184*C185*C186</f>
        <v>627.95749999999691</v>
      </c>
      <c r="D187" s="47" t="s">
        <v>98</v>
      </c>
      <c r="F187" s="46" t="s">
        <v>99</v>
      </c>
    </row>
    <row r="188" spans="3:6" x14ac:dyDescent="0.2">
      <c r="D188" s="47"/>
      <c r="F188" s="46"/>
    </row>
    <row r="189" spans="3:6" ht="15" x14ac:dyDescent="0.25">
      <c r="C189" s="64">
        <v>729.35</v>
      </c>
      <c r="D189" s="47" t="s">
        <v>10</v>
      </c>
      <c r="F189" s="46" t="s">
        <v>107</v>
      </c>
    </row>
    <row r="190" spans="3:6" ht="15" x14ac:dyDescent="0.25">
      <c r="C190" s="64">
        <f>735-C189</f>
        <v>5.6499999999999773</v>
      </c>
      <c r="D190" s="47" t="s">
        <v>10</v>
      </c>
      <c r="F190" s="46" t="s">
        <v>123</v>
      </c>
    </row>
    <row r="191" spans="3:6" ht="15" x14ac:dyDescent="0.25">
      <c r="C191" s="64">
        <v>9.92</v>
      </c>
      <c r="D191" s="47" t="s">
        <v>10</v>
      </c>
      <c r="F191" s="46" t="s">
        <v>115</v>
      </c>
    </row>
    <row r="192" spans="3:6" x14ac:dyDescent="0.2">
      <c r="C192" s="1">
        <f>(0.7*C190)+2</f>
        <v>5.9549999999999841</v>
      </c>
      <c r="D192" s="47" t="s">
        <v>10</v>
      </c>
      <c r="F192" s="46" t="s">
        <v>124</v>
      </c>
    </row>
    <row r="193" spans="1:6" x14ac:dyDescent="0.2">
      <c r="C193" s="1">
        <f>C190*C191*C192</f>
        <v>333.76583999999775</v>
      </c>
      <c r="D193" s="47" t="s">
        <v>98</v>
      </c>
      <c r="F193" s="46" t="s">
        <v>99</v>
      </c>
    </row>
    <row r="194" spans="1:6" x14ac:dyDescent="0.2">
      <c r="F194" s="2"/>
    </row>
    <row r="195" spans="1:6" x14ac:dyDescent="0.2">
      <c r="C195" s="1">
        <f>C151+C157+C163+C169+C175+C181+C187+C193</f>
        <v>27911.044852499926</v>
      </c>
      <c r="D195" s="47" t="s">
        <v>98</v>
      </c>
      <c r="F195" s="46" t="s">
        <v>125</v>
      </c>
    </row>
    <row r="196" spans="1:6" x14ac:dyDescent="0.2">
      <c r="F196" s="2"/>
    </row>
    <row r="197" spans="1:6" x14ac:dyDescent="0.2">
      <c r="A197" s="61">
        <v>840</v>
      </c>
      <c r="B197" s="61">
        <v>25010</v>
      </c>
      <c r="C197" s="61">
        <f>ROUNDUP(C202,)</f>
        <v>160</v>
      </c>
      <c r="D197" s="61" t="s">
        <v>10</v>
      </c>
      <c r="E197" s="61"/>
      <c r="F197" s="58" t="s">
        <v>78</v>
      </c>
    </row>
    <row r="198" spans="1:6" x14ac:dyDescent="0.2">
      <c r="F198" s="2"/>
    </row>
    <row r="199" spans="1:6" x14ac:dyDescent="0.2">
      <c r="C199" s="1">
        <v>134.27000000000001</v>
      </c>
      <c r="D199" s="1" t="s">
        <v>10</v>
      </c>
      <c r="F199" s="2" t="s">
        <v>161</v>
      </c>
    </row>
    <row r="200" spans="1:6" x14ac:dyDescent="0.2">
      <c r="C200" s="1">
        <v>25</v>
      </c>
      <c r="D200" s="1" t="s">
        <v>10</v>
      </c>
      <c r="F200" s="2" t="s">
        <v>209</v>
      </c>
    </row>
    <row r="201" spans="1:6" x14ac:dyDescent="0.2">
      <c r="F201" s="2"/>
    </row>
    <row r="202" spans="1:6" x14ac:dyDescent="0.2">
      <c r="C202" s="1">
        <f>C199+C200</f>
        <v>159.27000000000001</v>
      </c>
      <c r="D202" s="1" t="s">
        <v>10</v>
      </c>
      <c r="F202" s="2" t="s">
        <v>210</v>
      </c>
    </row>
    <row r="203" spans="1:6" x14ac:dyDescent="0.2">
      <c r="F203" s="2"/>
    </row>
    <row r="204" spans="1:6" x14ac:dyDescent="0.2">
      <c r="A204" s="61">
        <v>840</v>
      </c>
      <c r="B204" s="61">
        <v>25020</v>
      </c>
      <c r="C204" s="61">
        <f>C206</f>
        <v>25</v>
      </c>
      <c r="D204" s="61" t="s">
        <v>10</v>
      </c>
      <c r="E204" s="61"/>
      <c r="F204" s="58" t="s">
        <v>79</v>
      </c>
    </row>
    <row r="205" spans="1:6" x14ac:dyDescent="0.2">
      <c r="F205" s="2"/>
    </row>
    <row r="206" spans="1:6" x14ac:dyDescent="0.2">
      <c r="C206" s="1">
        <v>25</v>
      </c>
      <c r="D206" s="1" t="s">
        <v>10</v>
      </c>
      <c r="F206" s="2" t="s">
        <v>162</v>
      </c>
    </row>
    <row r="207" spans="1:6" x14ac:dyDescent="0.2">
      <c r="F207" s="2"/>
    </row>
    <row r="208" spans="1:6" x14ac:dyDescent="0.2">
      <c r="A208" s="70">
        <v>840</v>
      </c>
      <c r="B208" s="70">
        <v>26000</v>
      </c>
      <c r="C208" s="70">
        <f>C211</f>
        <v>135</v>
      </c>
      <c r="D208" s="66" t="s">
        <v>10</v>
      </c>
      <c r="E208" s="71"/>
      <c r="F208" s="58" t="s">
        <v>80</v>
      </c>
    </row>
    <row r="209" spans="1:6" x14ac:dyDescent="0.2">
      <c r="F209" s="2"/>
    </row>
    <row r="210" spans="1:6" x14ac:dyDescent="0.2">
      <c r="F210" s="2"/>
    </row>
    <row r="211" spans="1:6" x14ac:dyDescent="0.2">
      <c r="C211" s="1">
        <v>135</v>
      </c>
      <c r="D211" s="1" t="s">
        <v>10</v>
      </c>
      <c r="F211" s="2" t="s">
        <v>211</v>
      </c>
    </row>
    <row r="212" spans="1:6" x14ac:dyDescent="0.2">
      <c r="F212" s="2"/>
    </row>
    <row r="213" spans="1:6" x14ac:dyDescent="0.2">
      <c r="A213" s="70">
        <v>840</v>
      </c>
      <c r="B213" s="70">
        <v>26050</v>
      </c>
      <c r="C213" s="70">
        <f>ROUNDUP(C215,)</f>
        <v>1846</v>
      </c>
      <c r="D213" s="66" t="s">
        <v>11</v>
      </c>
      <c r="E213" s="71"/>
      <c r="F213" s="58" t="s">
        <v>85</v>
      </c>
    </row>
    <row r="214" spans="1:6" x14ac:dyDescent="0.2">
      <c r="F214" s="2"/>
    </row>
    <row r="215" spans="1:6" x14ac:dyDescent="0.2">
      <c r="C215" s="1">
        <v>1846</v>
      </c>
      <c r="D215" s="47" t="s">
        <v>98</v>
      </c>
      <c r="F215" s="46" t="s">
        <v>125</v>
      </c>
    </row>
  </sheetData>
  <mergeCells count="8">
    <mergeCell ref="G1:G4"/>
    <mergeCell ref="A3:A4"/>
    <mergeCell ref="B3:B4"/>
    <mergeCell ref="C3:C4"/>
    <mergeCell ref="D3:D4"/>
    <mergeCell ref="E3:E4"/>
    <mergeCell ref="F3:F4"/>
    <mergeCell ref="A1:F2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opLeftCell="A4" zoomScale="110" zoomScaleNormal="110" workbookViewId="0">
      <selection activeCell="F79" sqref="F79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6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62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520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C46</f>
        <v>130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/>
      <c r="E10" s="51" t="s">
        <v>6</v>
      </c>
      <c r="F10" s="51" t="s">
        <v>198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C52</f>
        <v>0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v>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C79</f>
        <v>478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C92</f>
        <v>3181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C96</f>
        <v>0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C100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C105</f>
        <v>1476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C119</f>
        <v>413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C124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C128</f>
        <v>335.8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C133</f>
        <v>3181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ROUNDUP(C43/27,)</f>
        <v>520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3505</v>
      </c>
      <c r="D41" s="47" t="s">
        <v>11</v>
      </c>
      <c r="F41" s="46" t="s">
        <v>163</v>
      </c>
    </row>
    <row r="42" spans="1:7" ht="15" x14ac:dyDescent="0.25">
      <c r="A42" s="24"/>
      <c r="B42" s="24"/>
      <c r="C42" s="64">
        <v>4</v>
      </c>
      <c r="D42" s="47" t="s">
        <v>10</v>
      </c>
      <c r="F42" s="46" t="s">
        <v>97</v>
      </c>
    </row>
    <row r="43" spans="1:7" x14ac:dyDescent="0.2">
      <c r="A43" s="24"/>
      <c r="B43" s="24"/>
      <c r="C43" s="1">
        <f>C42*C41</f>
        <v>14020</v>
      </c>
      <c r="D43" s="47" t="s">
        <v>98</v>
      </c>
      <c r="F43" s="46" t="s">
        <v>99</v>
      </c>
    </row>
    <row r="44" spans="1:7" x14ac:dyDescent="0.2">
      <c r="A44" s="24"/>
      <c r="B44" s="24"/>
      <c r="C44" s="24"/>
      <c r="D44" s="24"/>
      <c r="E44" s="24"/>
      <c r="F44" s="26"/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61">
        <v>203</v>
      </c>
      <c r="B46" s="61">
        <v>35120</v>
      </c>
      <c r="C46" s="61">
        <f>ROUNDUP(C50/27,)</f>
        <v>130</v>
      </c>
      <c r="D46" s="62" t="s">
        <v>6</v>
      </c>
      <c r="E46" s="61"/>
      <c r="F46" s="67" t="s">
        <v>95</v>
      </c>
    </row>
    <row r="47" spans="1:7" x14ac:dyDescent="0.2">
      <c r="F47" s="2"/>
    </row>
    <row r="48" spans="1:7" ht="15" x14ac:dyDescent="0.25">
      <c r="C48" s="64">
        <v>3505</v>
      </c>
      <c r="D48" s="47" t="s">
        <v>11</v>
      </c>
      <c r="F48" s="46" t="s">
        <v>96</v>
      </c>
    </row>
    <row r="49" spans="1:6" ht="15" x14ac:dyDescent="0.25">
      <c r="C49" s="64">
        <v>1</v>
      </c>
      <c r="D49" s="47" t="s">
        <v>10</v>
      </c>
      <c r="F49" s="46" t="s">
        <v>97</v>
      </c>
    </row>
    <row r="50" spans="1:6" x14ac:dyDescent="0.2">
      <c r="C50" s="1">
        <f>C49*C48</f>
        <v>3505</v>
      </c>
      <c r="D50" s="47" t="s">
        <v>98</v>
      </c>
      <c r="F50" s="46" t="s">
        <v>99</v>
      </c>
    </row>
    <row r="51" spans="1:6" x14ac:dyDescent="0.2">
      <c r="F51" s="2"/>
    </row>
    <row r="52" spans="1:6" x14ac:dyDescent="0.2">
      <c r="A52" s="74" t="s">
        <v>7</v>
      </c>
      <c r="B52" s="70">
        <v>20365000</v>
      </c>
      <c r="C52" s="70">
        <f>C54</f>
        <v>0</v>
      </c>
      <c r="D52" s="66" t="s">
        <v>37</v>
      </c>
      <c r="E52" s="71"/>
      <c r="F52" s="58" t="s">
        <v>71</v>
      </c>
    </row>
    <row r="53" spans="1:6" x14ac:dyDescent="0.2">
      <c r="F53" s="2"/>
    </row>
    <row r="54" spans="1:6" x14ac:dyDescent="0.2">
      <c r="C54" s="1">
        <v>0</v>
      </c>
      <c r="D54" s="47" t="s">
        <v>37</v>
      </c>
      <c r="F54" s="46" t="s">
        <v>192</v>
      </c>
    </row>
    <row r="55" spans="1:6" x14ac:dyDescent="0.2">
      <c r="F55" s="2"/>
    </row>
    <row r="56" spans="1:6" x14ac:dyDescent="0.2">
      <c r="F56" s="2"/>
    </row>
    <row r="57" spans="1:6" x14ac:dyDescent="0.2">
      <c r="F57" s="2"/>
    </row>
    <row r="58" spans="1:6" x14ac:dyDescent="0.2">
      <c r="A58" s="61">
        <v>511</v>
      </c>
      <c r="B58" s="61">
        <v>71200</v>
      </c>
      <c r="C58" s="61">
        <f>ROUNDUP(C60,)</f>
        <v>3181</v>
      </c>
      <c r="D58" s="62" t="s">
        <v>11</v>
      </c>
      <c r="E58" s="61"/>
      <c r="F58" s="67" t="s">
        <v>92</v>
      </c>
    </row>
    <row r="59" spans="1:6" x14ac:dyDescent="0.2">
      <c r="F59" s="2"/>
    </row>
    <row r="60" spans="1:6" x14ac:dyDescent="0.2">
      <c r="C60" s="1">
        <v>3181</v>
      </c>
      <c r="D60" s="65" t="s">
        <v>11</v>
      </c>
      <c r="F60" s="46" t="s">
        <v>212</v>
      </c>
    </row>
    <row r="61" spans="1:6" x14ac:dyDescent="0.2">
      <c r="F61" s="2"/>
    </row>
    <row r="62" spans="1:6" x14ac:dyDescent="0.2">
      <c r="A62" s="80">
        <v>511</v>
      </c>
      <c r="B62" s="80">
        <v>81100</v>
      </c>
      <c r="C62" s="80">
        <f>ROUNDUP(C64,)</f>
        <v>336</v>
      </c>
      <c r="D62" s="80" t="s">
        <v>10</v>
      </c>
      <c r="E62" s="80"/>
      <c r="F62" s="81" t="s">
        <v>93</v>
      </c>
    </row>
    <row r="63" spans="1:6" x14ac:dyDescent="0.2">
      <c r="A63" s="75"/>
      <c r="B63" s="75"/>
      <c r="C63" s="75"/>
      <c r="D63" s="75"/>
      <c r="E63" s="75"/>
      <c r="F63" s="76"/>
    </row>
    <row r="64" spans="1:6" x14ac:dyDescent="0.2">
      <c r="A64" s="75"/>
      <c r="B64" s="75"/>
      <c r="C64" s="75">
        <v>335.81</v>
      </c>
      <c r="D64" s="75" t="s">
        <v>10</v>
      </c>
      <c r="E64" s="75"/>
      <c r="F64" s="76" t="s">
        <v>165</v>
      </c>
    </row>
    <row r="65" spans="1:6" x14ac:dyDescent="0.2">
      <c r="F65" s="2"/>
    </row>
    <row r="66" spans="1:6" x14ac:dyDescent="0.2">
      <c r="A66" s="61">
        <v>512</v>
      </c>
      <c r="B66" s="61">
        <v>10001</v>
      </c>
      <c r="C66" s="61">
        <f>ROUNDUP(C77/9,)</f>
        <v>478</v>
      </c>
      <c r="D66" s="61" t="s">
        <v>9</v>
      </c>
      <c r="E66" s="61"/>
      <c r="F66" s="58" t="s">
        <v>87</v>
      </c>
    </row>
    <row r="67" spans="1:6" x14ac:dyDescent="0.2">
      <c r="F67" s="77" t="s">
        <v>249</v>
      </c>
    </row>
    <row r="68" spans="1:6" x14ac:dyDescent="0.2">
      <c r="C68" s="75">
        <v>3181</v>
      </c>
      <c r="D68" s="75" t="s">
        <v>11</v>
      </c>
      <c r="E68" s="75"/>
      <c r="F68" s="76" t="s">
        <v>128</v>
      </c>
    </row>
    <row r="69" spans="1:6" x14ac:dyDescent="0.2">
      <c r="C69" s="75"/>
      <c r="D69" s="75"/>
      <c r="E69" s="75"/>
      <c r="F69" s="76"/>
    </row>
    <row r="70" spans="1:6" ht="15" x14ac:dyDescent="0.25">
      <c r="C70" s="78">
        <v>2</v>
      </c>
      <c r="D70" s="75" t="s">
        <v>10</v>
      </c>
      <c r="E70" s="75"/>
      <c r="F70" s="76" t="s">
        <v>129</v>
      </c>
    </row>
    <row r="71" spans="1:6" ht="15" x14ac:dyDescent="0.25">
      <c r="C71" s="78">
        <v>0.83</v>
      </c>
      <c r="D71" s="75" t="s">
        <v>10</v>
      </c>
      <c r="E71" s="75"/>
      <c r="F71" s="76" t="s">
        <v>130</v>
      </c>
    </row>
    <row r="72" spans="1:6" ht="15" x14ac:dyDescent="0.25">
      <c r="C72" s="78">
        <v>0.5</v>
      </c>
      <c r="D72" s="75" t="s">
        <v>10</v>
      </c>
      <c r="E72" s="75"/>
      <c r="F72" s="76" t="s">
        <v>131</v>
      </c>
    </row>
    <row r="73" spans="1:6" ht="15" x14ac:dyDescent="0.25">
      <c r="C73" s="78">
        <v>335.81</v>
      </c>
      <c r="D73" s="75" t="s">
        <v>10</v>
      </c>
      <c r="E73" s="75"/>
      <c r="F73" s="76" t="s">
        <v>164</v>
      </c>
    </row>
    <row r="74" spans="1:6" x14ac:dyDescent="0.2">
      <c r="C74" s="75"/>
      <c r="D74" s="75"/>
      <c r="E74" s="75"/>
      <c r="F74" s="76"/>
    </row>
    <row r="75" spans="1:6" x14ac:dyDescent="0.2">
      <c r="C75" s="75">
        <f>(C70+C71+C72)*C73</f>
        <v>1118.2473</v>
      </c>
      <c r="D75" s="75" t="s">
        <v>11</v>
      </c>
      <c r="E75" s="75"/>
      <c r="F75" s="76" t="s">
        <v>133</v>
      </c>
    </row>
    <row r="76" spans="1:6" x14ac:dyDescent="0.2">
      <c r="C76" s="75"/>
      <c r="D76" s="75"/>
      <c r="E76" s="75"/>
      <c r="F76" s="76"/>
    </row>
    <row r="77" spans="1:6" x14ac:dyDescent="0.2">
      <c r="C77" s="75">
        <f>C68+C75</f>
        <v>4299.2473</v>
      </c>
      <c r="D77" s="75" t="s">
        <v>11</v>
      </c>
      <c r="E77" s="75"/>
      <c r="F77" s="76" t="s">
        <v>134</v>
      </c>
    </row>
    <row r="78" spans="1:6" x14ac:dyDescent="0.2">
      <c r="F78" s="2"/>
    </row>
    <row r="79" spans="1:6" x14ac:dyDescent="0.2">
      <c r="A79" s="61">
        <v>512</v>
      </c>
      <c r="B79" s="61">
        <v>10100</v>
      </c>
      <c r="C79" s="61">
        <f>ROUNDUP(C90/9,)</f>
        <v>478</v>
      </c>
      <c r="D79" s="61" t="s">
        <v>9</v>
      </c>
      <c r="E79" s="61"/>
      <c r="F79" s="58" t="s">
        <v>88</v>
      </c>
    </row>
    <row r="80" spans="1:6" x14ac:dyDescent="0.2">
      <c r="F80"/>
    </row>
    <row r="81" spans="1:6" x14ac:dyDescent="0.2">
      <c r="C81" s="47">
        <f>C58</f>
        <v>3181</v>
      </c>
      <c r="D81" s="47" t="s">
        <v>11</v>
      </c>
      <c r="E81" s="47"/>
      <c r="F81" s="46" t="s">
        <v>128</v>
      </c>
    </row>
    <row r="82" spans="1:6" x14ac:dyDescent="0.2">
      <c r="C82" s="47"/>
      <c r="D82" s="47"/>
      <c r="E82" s="47"/>
      <c r="F82" s="46"/>
    </row>
    <row r="83" spans="1:6" ht="15" x14ac:dyDescent="0.25">
      <c r="C83" s="79">
        <v>2</v>
      </c>
      <c r="D83" s="47" t="s">
        <v>10</v>
      </c>
      <c r="E83" s="47"/>
      <c r="F83" s="46" t="s">
        <v>129</v>
      </c>
    </row>
    <row r="84" spans="1:6" ht="15" x14ac:dyDescent="0.25">
      <c r="C84" s="79">
        <v>0.83</v>
      </c>
      <c r="D84" s="47" t="s">
        <v>10</v>
      </c>
      <c r="E84" s="47"/>
      <c r="F84" s="46" t="s">
        <v>130</v>
      </c>
    </row>
    <row r="85" spans="1:6" ht="15" x14ac:dyDescent="0.25">
      <c r="C85" s="79">
        <v>0.5</v>
      </c>
      <c r="D85" s="47" t="s">
        <v>10</v>
      </c>
      <c r="E85" s="47"/>
      <c r="F85" s="46" t="s">
        <v>131</v>
      </c>
    </row>
    <row r="86" spans="1:6" ht="15" x14ac:dyDescent="0.25">
      <c r="C86" s="79">
        <v>335.81</v>
      </c>
      <c r="D86" s="47" t="s">
        <v>10</v>
      </c>
      <c r="E86" s="47"/>
      <c r="F86" s="46" t="s">
        <v>132</v>
      </c>
    </row>
    <row r="87" spans="1:6" x14ac:dyDescent="0.2">
      <c r="C87" s="47"/>
      <c r="D87" s="47"/>
      <c r="E87" s="47"/>
      <c r="F87" s="46"/>
    </row>
    <row r="88" spans="1:6" x14ac:dyDescent="0.2">
      <c r="C88" s="47">
        <f>(C83+C84+C85)*C86</f>
        <v>1118.2473</v>
      </c>
      <c r="D88" s="47" t="s">
        <v>11</v>
      </c>
      <c r="E88" s="47"/>
      <c r="F88" s="46" t="s">
        <v>133</v>
      </c>
    </row>
    <row r="89" spans="1:6" x14ac:dyDescent="0.2">
      <c r="C89" s="47"/>
      <c r="D89" s="47"/>
      <c r="E89" s="47"/>
      <c r="F89" s="46"/>
    </row>
    <row r="90" spans="1:6" x14ac:dyDescent="0.2">
      <c r="C90" s="47">
        <f>C81+C88</f>
        <v>4299.2473</v>
      </c>
      <c r="D90" s="47" t="s">
        <v>11</v>
      </c>
      <c r="E90" s="47"/>
      <c r="F90" s="46" t="s">
        <v>134</v>
      </c>
    </row>
    <row r="91" spans="1:6" x14ac:dyDescent="0.2">
      <c r="F91" s="2"/>
    </row>
    <row r="92" spans="1:6" x14ac:dyDescent="0.2">
      <c r="A92" s="61">
        <v>840</v>
      </c>
      <c r="B92" s="61">
        <v>20001</v>
      </c>
      <c r="C92" s="61">
        <f>ROUNDUP(C94,)</f>
        <v>3181</v>
      </c>
      <c r="D92" s="61" t="s">
        <v>11</v>
      </c>
      <c r="E92" s="61"/>
      <c r="F92" s="58" t="s">
        <v>73</v>
      </c>
    </row>
    <row r="93" spans="1:6" x14ac:dyDescent="0.2">
      <c r="F93" s="2"/>
    </row>
    <row r="94" spans="1:6" x14ac:dyDescent="0.2">
      <c r="C94" s="1">
        <v>3181</v>
      </c>
      <c r="D94" s="65" t="s">
        <v>11</v>
      </c>
      <c r="F94" s="46" t="s">
        <v>126</v>
      </c>
    </row>
    <row r="95" spans="1:6" x14ac:dyDescent="0.2">
      <c r="D95" s="47"/>
      <c r="F95" s="46"/>
    </row>
    <row r="96" spans="1:6" x14ac:dyDescent="0.2">
      <c r="A96" s="61">
        <v>840</v>
      </c>
      <c r="B96" s="61">
        <v>21000</v>
      </c>
      <c r="C96" s="61">
        <f>ROUNDUP(C98/27,)</f>
        <v>0</v>
      </c>
      <c r="D96" s="61" t="s">
        <v>6</v>
      </c>
      <c r="E96" s="61"/>
      <c r="F96" s="69" t="s">
        <v>74</v>
      </c>
    </row>
    <row r="97" spans="1:6" x14ac:dyDescent="0.2">
      <c r="F97" s="2"/>
    </row>
    <row r="98" spans="1:6" x14ac:dyDescent="0.2">
      <c r="C98" s="1">
        <v>0</v>
      </c>
      <c r="D98" s="1" t="s">
        <v>98</v>
      </c>
      <c r="F98" s="2" t="s">
        <v>214</v>
      </c>
    </row>
    <row r="99" spans="1:6" x14ac:dyDescent="0.2">
      <c r="F99" s="2"/>
    </row>
    <row r="100" spans="1:6" x14ac:dyDescent="0.2">
      <c r="A100" s="61">
        <v>840</v>
      </c>
      <c r="B100" s="61">
        <v>22000</v>
      </c>
      <c r="C100" s="61">
        <f>ROUNDUP(C102/9,)</f>
        <v>0</v>
      </c>
      <c r="D100" s="61" t="s">
        <v>9</v>
      </c>
      <c r="E100" s="61"/>
      <c r="F100" s="69" t="s">
        <v>75</v>
      </c>
    </row>
    <row r="101" spans="1:6" x14ac:dyDescent="0.2">
      <c r="F101" s="2"/>
    </row>
    <row r="102" spans="1:6" x14ac:dyDescent="0.2">
      <c r="C102" s="1">
        <v>0</v>
      </c>
      <c r="D102" s="1" t="s">
        <v>11</v>
      </c>
      <c r="F102" s="2" t="s">
        <v>160</v>
      </c>
    </row>
    <row r="103" spans="1:6" x14ac:dyDescent="0.2">
      <c r="F103" s="2"/>
    </row>
    <row r="104" spans="1:6" x14ac:dyDescent="0.2">
      <c r="F104" s="2"/>
    </row>
    <row r="105" spans="1:6" x14ac:dyDescent="0.2">
      <c r="A105" s="61">
        <v>840</v>
      </c>
      <c r="B105" s="61">
        <v>23000</v>
      </c>
      <c r="C105" s="61">
        <f>ROUNDUP(C117/27,)</f>
        <v>1476</v>
      </c>
      <c r="D105" s="62" t="s">
        <v>6</v>
      </c>
      <c r="E105" s="61"/>
      <c r="F105" s="67" t="s">
        <v>76</v>
      </c>
    </row>
    <row r="106" spans="1:6" x14ac:dyDescent="0.2">
      <c r="F106" s="2"/>
    </row>
    <row r="107" spans="1:6" x14ac:dyDescent="0.2">
      <c r="F107" s="2"/>
    </row>
    <row r="108" spans="1:6" ht="15" x14ac:dyDescent="0.25">
      <c r="C108" s="64">
        <v>1137.5</v>
      </c>
      <c r="D108" s="47" t="s">
        <v>11</v>
      </c>
      <c r="F108" s="46" t="s">
        <v>170</v>
      </c>
    </row>
    <row r="109" spans="1:6" ht="15" x14ac:dyDescent="0.25">
      <c r="C109" s="64">
        <v>10</v>
      </c>
      <c r="D109" s="47" t="s">
        <v>10</v>
      </c>
      <c r="F109" s="46" t="s">
        <v>124</v>
      </c>
    </row>
    <row r="110" spans="1:6" x14ac:dyDescent="0.2">
      <c r="C110" s="1">
        <f>C108*C109</f>
        <v>11375</v>
      </c>
      <c r="D110" s="65" t="s">
        <v>98</v>
      </c>
      <c r="F110" s="46" t="s">
        <v>99</v>
      </c>
    </row>
    <row r="111" spans="1:6" x14ac:dyDescent="0.2">
      <c r="D111" s="47"/>
      <c r="F111" s="46"/>
    </row>
    <row r="112" spans="1:6" ht="15" x14ac:dyDescent="0.25">
      <c r="C112" s="64">
        <v>2711.78</v>
      </c>
      <c r="D112" s="47" t="s">
        <v>10</v>
      </c>
      <c r="F112" s="46" t="s">
        <v>169</v>
      </c>
    </row>
    <row r="113" spans="1:6" ht="15" x14ac:dyDescent="0.25">
      <c r="C113" s="64">
        <v>10.5</v>
      </c>
      <c r="D113" s="47" t="s">
        <v>10</v>
      </c>
      <c r="F113" s="46" t="s">
        <v>124</v>
      </c>
    </row>
    <row r="114" spans="1:6" x14ac:dyDescent="0.2">
      <c r="C114" s="1">
        <f>C112*C113</f>
        <v>28473.690000000002</v>
      </c>
      <c r="D114" s="65" t="s">
        <v>98</v>
      </c>
      <c r="F114" s="46" t="s">
        <v>99</v>
      </c>
    </row>
    <row r="115" spans="1:6" x14ac:dyDescent="0.2">
      <c r="D115" s="47"/>
      <c r="F115" s="46"/>
    </row>
    <row r="116" spans="1:6" x14ac:dyDescent="0.2">
      <c r="F116" s="2"/>
    </row>
    <row r="117" spans="1:6" x14ac:dyDescent="0.2">
      <c r="C117" s="1">
        <f>C110+C114</f>
        <v>39848.69</v>
      </c>
      <c r="D117" s="47" t="s">
        <v>98</v>
      </c>
      <c r="F117" s="46" t="s">
        <v>125</v>
      </c>
    </row>
    <row r="118" spans="1:6" x14ac:dyDescent="0.2">
      <c r="F118" s="2"/>
    </row>
    <row r="119" spans="1:6" x14ac:dyDescent="0.2">
      <c r="A119" s="61">
        <v>840</v>
      </c>
      <c r="B119" s="61">
        <v>25010</v>
      </c>
      <c r="C119" s="61">
        <f>C121</f>
        <v>413</v>
      </c>
      <c r="D119" s="61" t="s">
        <v>10</v>
      </c>
      <c r="E119" s="61"/>
      <c r="F119" s="58" t="s">
        <v>78</v>
      </c>
    </row>
    <row r="120" spans="1:6" x14ac:dyDescent="0.2">
      <c r="F120" s="2"/>
    </row>
    <row r="121" spans="1:6" x14ac:dyDescent="0.2">
      <c r="C121" s="1">
        <f>68+345</f>
        <v>413</v>
      </c>
      <c r="D121" s="1" t="s">
        <v>10</v>
      </c>
      <c r="F121" s="2" t="s">
        <v>166</v>
      </c>
    </row>
    <row r="122" spans="1:6" x14ac:dyDescent="0.2">
      <c r="F122" s="2"/>
    </row>
    <row r="123" spans="1:6" x14ac:dyDescent="0.2">
      <c r="F123" s="2"/>
    </row>
    <row r="124" spans="1:6" x14ac:dyDescent="0.2">
      <c r="A124" s="61">
        <v>840</v>
      </c>
      <c r="B124" s="61">
        <v>25020</v>
      </c>
      <c r="C124" s="61">
        <f>C126</f>
        <v>0</v>
      </c>
      <c r="D124" s="61" t="s">
        <v>10</v>
      </c>
      <c r="E124" s="61"/>
      <c r="F124" s="58" t="s">
        <v>79</v>
      </c>
    </row>
    <row r="125" spans="1:6" x14ac:dyDescent="0.2">
      <c r="F125" s="2"/>
    </row>
    <row r="126" spans="1:6" x14ac:dyDescent="0.2">
      <c r="C126" s="1">
        <v>0</v>
      </c>
      <c r="D126" s="1" t="s">
        <v>10</v>
      </c>
      <c r="F126" s="2" t="s">
        <v>168</v>
      </c>
    </row>
    <row r="127" spans="1:6" x14ac:dyDescent="0.2">
      <c r="F127" s="2"/>
    </row>
    <row r="128" spans="1:6" x14ac:dyDescent="0.2">
      <c r="A128" s="70">
        <v>840</v>
      </c>
      <c r="B128" s="70">
        <v>26000</v>
      </c>
      <c r="C128" s="70">
        <f>C131</f>
        <v>335.8</v>
      </c>
      <c r="D128" s="66" t="s">
        <v>10</v>
      </c>
      <c r="E128" s="71"/>
      <c r="F128" s="58" t="s">
        <v>80</v>
      </c>
    </row>
    <row r="129" spans="1:6" x14ac:dyDescent="0.2">
      <c r="F129" s="2"/>
    </row>
    <row r="130" spans="1:6" x14ac:dyDescent="0.2">
      <c r="F130" s="2"/>
    </row>
    <row r="131" spans="1:6" x14ac:dyDescent="0.2">
      <c r="C131" s="1">
        <v>335.8</v>
      </c>
      <c r="D131" s="1" t="s">
        <v>10</v>
      </c>
      <c r="F131" s="2" t="s">
        <v>167</v>
      </c>
    </row>
    <row r="132" spans="1:6" x14ac:dyDescent="0.2">
      <c r="F132" s="2"/>
    </row>
    <row r="133" spans="1:6" x14ac:dyDescent="0.2">
      <c r="A133" s="70">
        <v>840</v>
      </c>
      <c r="B133" s="70">
        <v>26050</v>
      </c>
      <c r="C133" s="70">
        <f>ROUNDUP(C135,)</f>
        <v>3181</v>
      </c>
      <c r="D133" s="66" t="s">
        <v>11</v>
      </c>
      <c r="E133" s="71"/>
      <c r="F133" s="58" t="s">
        <v>85</v>
      </c>
    </row>
    <row r="134" spans="1:6" x14ac:dyDescent="0.2">
      <c r="F134" s="2"/>
    </row>
    <row r="135" spans="1:6" x14ac:dyDescent="0.2">
      <c r="C135" s="1">
        <v>3181</v>
      </c>
      <c r="D135" s="47" t="s">
        <v>11</v>
      </c>
      <c r="F135" s="46" t="s">
        <v>213</v>
      </c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5"/>
  <sheetViews>
    <sheetView tabSelected="1" zoomScaleNormal="100" workbookViewId="0">
      <selection activeCell="F20" sqref="F20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6.7109375" style="1" customWidth="1"/>
    <col min="7" max="7" width="18.5703125" style="1" bestFit="1" customWidth="1"/>
    <col min="8" max="8" width="8.85546875" style="1" customWidth="1"/>
    <col min="9" max="10" width="9.140625" style="1"/>
    <col min="11" max="11" width="11.7109375" style="1" bestFit="1" customWidth="1"/>
    <col min="12" max="12" width="14.28515625" style="1" bestFit="1" customWidth="1"/>
    <col min="13" max="13" width="25.28515625" style="1" bestFit="1" customWidth="1"/>
    <col min="14" max="14" width="28.7109375" style="1" bestFit="1" customWidth="1"/>
    <col min="15" max="15" width="12.5703125" style="1" bestFit="1" customWidth="1"/>
    <col min="16" max="16384" width="9.140625" style="1"/>
  </cols>
  <sheetData>
    <row r="1" spans="1:7" ht="12.75" customHeight="1" x14ac:dyDescent="0.2">
      <c r="A1" s="95"/>
      <c r="B1" s="147" t="s">
        <v>29</v>
      </c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96"/>
      <c r="B2" s="150"/>
      <c r="C2" s="151"/>
      <c r="D2" s="151"/>
      <c r="E2" s="151"/>
      <c r="F2" s="152"/>
      <c r="G2" s="141"/>
    </row>
    <row r="3" spans="1:7" ht="12.75" customHeight="1" x14ac:dyDescent="0.2">
      <c r="A3" s="153"/>
      <c r="B3" s="143" t="s">
        <v>0</v>
      </c>
      <c r="C3" s="145" t="s">
        <v>4</v>
      </c>
      <c r="D3" s="155" t="s">
        <v>1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4"/>
      <c r="C4" s="146"/>
      <c r="D4" s="154"/>
      <c r="E4" s="146"/>
      <c r="F4" s="144"/>
      <c r="G4" s="142"/>
    </row>
    <row r="5" spans="1:7" x14ac:dyDescent="0.2">
      <c r="A5" s="7"/>
      <c r="B5" s="7">
        <v>203</v>
      </c>
      <c r="C5" s="7">
        <v>20000</v>
      </c>
      <c r="D5" s="7">
        <f>C28</f>
        <v>261</v>
      </c>
      <c r="E5" s="51" t="s">
        <v>6</v>
      </c>
      <c r="F5" s="50" t="s">
        <v>68</v>
      </c>
      <c r="G5" s="43"/>
    </row>
    <row r="6" spans="1:7" x14ac:dyDescent="0.2">
      <c r="A6" s="7"/>
      <c r="B6" s="7">
        <v>203</v>
      </c>
      <c r="C6" s="7">
        <v>35110</v>
      </c>
      <c r="D6" s="7">
        <f>C44</f>
        <v>1112</v>
      </c>
      <c r="E6" s="51" t="s">
        <v>6</v>
      </c>
      <c r="F6" s="50" t="s">
        <v>69</v>
      </c>
      <c r="G6" s="43"/>
    </row>
    <row r="7" spans="1:7" x14ac:dyDescent="0.2">
      <c r="A7" s="7"/>
      <c r="B7" s="44">
        <v>203</v>
      </c>
      <c r="C7" s="4">
        <v>65000</v>
      </c>
      <c r="D7" s="37">
        <f>C61</f>
        <v>2</v>
      </c>
      <c r="E7" s="54" t="s">
        <v>37</v>
      </c>
      <c r="F7" s="101" t="s">
        <v>71</v>
      </c>
      <c r="G7" s="43"/>
    </row>
    <row r="8" spans="1:7" x14ac:dyDescent="0.2">
      <c r="A8" s="7"/>
      <c r="B8" s="7">
        <v>203</v>
      </c>
      <c r="C8" s="7">
        <v>98100</v>
      </c>
      <c r="D8" s="43">
        <f>C50</f>
        <v>272.55555555555554</v>
      </c>
      <c r="E8" s="51" t="s">
        <v>9</v>
      </c>
      <c r="F8" s="50" t="s">
        <v>322</v>
      </c>
      <c r="G8" s="43"/>
    </row>
    <row r="9" spans="1:7" x14ac:dyDescent="0.2">
      <c r="A9" s="7"/>
      <c r="B9" s="43"/>
      <c r="C9" s="4"/>
      <c r="D9" s="37"/>
      <c r="E9" s="51"/>
      <c r="F9" s="101"/>
      <c r="G9" s="43"/>
    </row>
    <row r="10" spans="1:7" x14ac:dyDescent="0.2">
      <c r="A10" s="7"/>
      <c r="B10" s="43">
        <v>503</v>
      </c>
      <c r="C10" s="110">
        <v>11101</v>
      </c>
      <c r="D10" s="52" t="s">
        <v>84</v>
      </c>
      <c r="E10" s="51" t="s">
        <v>84</v>
      </c>
      <c r="F10" s="111" t="s">
        <v>287</v>
      </c>
      <c r="G10" s="43"/>
    </row>
    <row r="11" spans="1:7" ht="12.75" customHeight="1" x14ac:dyDescent="0.2">
      <c r="A11" s="7"/>
      <c r="B11" s="4">
        <v>512</v>
      </c>
      <c r="C11" s="4">
        <v>10001</v>
      </c>
      <c r="D11" s="4">
        <f>C67</f>
        <v>129</v>
      </c>
      <c r="E11" s="54" t="s">
        <v>9</v>
      </c>
      <c r="F11" s="53" t="s">
        <v>291</v>
      </c>
      <c r="G11" s="44"/>
    </row>
    <row r="12" spans="1:7" ht="12.75" customHeight="1" x14ac:dyDescent="0.2">
      <c r="A12" s="7"/>
      <c r="B12" s="4">
        <f>IF(VOID!E7=0, "", VOID!E7)</f>
        <v>512</v>
      </c>
      <c r="C12" s="4">
        <v>10100</v>
      </c>
      <c r="D12" s="4">
        <f>C81</f>
        <v>168</v>
      </c>
      <c r="E12" s="5" t="str">
        <f>IF(VOID!H7=0, "", VOID!H7)</f>
        <v>SQ YD</v>
      </c>
      <c r="F12" s="53" t="s">
        <v>88</v>
      </c>
      <c r="G12" s="44"/>
    </row>
    <row r="13" spans="1:7" ht="12.75" customHeight="1" x14ac:dyDescent="0.2">
      <c r="A13" s="7"/>
      <c r="B13" s="4">
        <v>516</v>
      </c>
      <c r="C13" s="4">
        <v>13200</v>
      </c>
      <c r="D13" s="44">
        <f>C150</f>
        <v>120.96</v>
      </c>
      <c r="E13" s="54" t="s">
        <v>11</v>
      </c>
      <c r="F13" s="53" t="s">
        <v>281</v>
      </c>
      <c r="G13" s="44"/>
    </row>
    <row r="14" spans="1:7" ht="12.75" customHeight="1" x14ac:dyDescent="0.2">
      <c r="A14" s="7"/>
      <c r="B14" s="4"/>
      <c r="C14" s="4"/>
      <c r="D14" s="44"/>
      <c r="E14" s="54"/>
      <c r="F14" s="53"/>
      <c r="G14" s="44"/>
    </row>
    <row r="15" spans="1:7" ht="12.75" customHeight="1" x14ac:dyDescent="0.2">
      <c r="A15" s="7"/>
      <c r="B15" s="4">
        <v>840</v>
      </c>
      <c r="C15" s="4">
        <v>20001</v>
      </c>
      <c r="D15" s="4">
        <f>C94</f>
        <v>2115</v>
      </c>
      <c r="E15" s="54" t="s">
        <v>11</v>
      </c>
      <c r="F15" s="53" t="s">
        <v>73</v>
      </c>
      <c r="G15" s="44"/>
    </row>
    <row r="16" spans="1:7" ht="12.75" customHeight="1" x14ac:dyDescent="0.2">
      <c r="A16" s="7"/>
      <c r="B16" s="4">
        <v>840</v>
      </c>
      <c r="C16" s="4">
        <v>21000</v>
      </c>
      <c r="D16" s="44">
        <f>C98</f>
        <v>298</v>
      </c>
      <c r="E16" s="54" t="s">
        <v>6</v>
      </c>
      <c r="F16" s="53" t="s">
        <v>74</v>
      </c>
      <c r="G16" s="4"/>
    </row>
    <row r="17" spans="1:7" ht="12.75" customHeight="1" x14ac:dyDescent="0.2">
      <c r="A17" s="7"/>
      <c r="B17" s="4">
        <v>840</v>
      </c>
      <c r="C17" s="4">
        <v>22000</v>
      </c>
      <c r="D17" s="4">
        <f>C118</f>
        <v>368</v>
      </c>
      <c r="E17" s="54" t="s">
        <v>9</v>
      </c>
      <c r="F17" s="53" t="s">
        <v>75</v>
      </c>
      <c r="G17" s="4"/>
    </row>
    <row r="18" spans="1:7" ht="12.75" customHeight="1" x14ac:dyDescent="0.2">
      <c r="A18" s="7"/>
      <c r="B18" s="4">
        <v>840</v>
      </c>
      <c r="C18" s="4">
        <v>23000</v>
      </c>
      <c r="D18" s="4">
        <f>C123</f>
        <v>1851</v>
      </c>
      <c r="E18" s="54" t="s">
        <v>6</v>
      </c>
      <c r="F18" s="53" t="s">
        <v>76</v>
      </c>
      <c r="G18" s="44"/>
    </row>
    <row r="19" spans="1:7" ht="12.75" customHeight="1" x14ac:dyDescent="0.2">
      <c r="A19" s="7"/>
      <c r="B19" s="4">
        <v>840</v>
      </c>
      <c r="C19" s="4">
        <v>25010</v>
      </c>
      <c r="D19" s="4">
        <f>C132</f>
        <v>312</v>
      </c>
      <c r="E19" s="54" t="s">
        <v>10</v>
      </c>
      <c r="F19" s="53" t="s">
        <v>78</v>
      </c>
      <c r="G19" s="44"/>
    </row>
    <row r="20" spans="1:7" ht="12.75" customHeight="1" x14ac:dyDescent="0.2">
      <c r="A20" s="7"/>
      <c r="B20" s="4"/>
      <c r="C20" s="4"/>
      <c r="D20" s="4"/>
      <c r="E20" s="54"/>
      <c r="F20" s="53"/>
      <c r="G20" s="44"/>
    </row>
    <row r="21" spans="1:7" ht="12.75" customHeight="1" x14ac:dyDescent="0.2">
      <c r="A21" s="7"/>
      <c r="B21" s="4">
        <v>840</v>
      </c>
      <c r="C21" s="4">
        <v>26000</v>
      </c>
      <c r="D21" s="4">
        <f>C138</f>
        <v>134.5</v>
      </c>
      <c r="E21" s="54" t="s">
        <v>10</v>
      </c>
      <c r="F21" s="53" t="s">
        <v>80</v>
      </c>
      <c r="G21" s="4"/>
    </row>
    <row r="22" spans="1:7" ht="12.75" customHeight="1" x14ac:dyDescent="0.2">
      <c r="A22" s="7"/>
      <c r="B22" s="4">
        <v>840</v>
      </c>
      <c r="C22" s="4">
        <v>26050</v>
      </c>
      <c r="D22" s="4">
        <f>C142</f>
        <v>1846</v>
      </c>
      <c r="E22" s="54" t="s">
        <v>11</v>
      </c>
      <c r="F22" s="53" t="s">
        <v>85</v>
      </c>
      <c r="G22" s="4"/>
    </row>
    <row r="23" spans="1:7" ht="12.75" customHeight="1" x14ac:dyDescent="0.2">
      <c r="A23" s="7"/>
      <c r="B23" s="4">
        <v>840</v>
      </c>
      <c r="C23" s="4">
        <v>27000</v>
      </c>
      <c r="D23" s="4">
        <v>5</v>
      </c>
      <c r="E23" s="54" t="s">
        <v>81</v>
      </c>
      <c r="F23" s="53" t="s">
        <v>82</v>
      </c>
      <c r="G23" s="4"/>
    </row>
    <row r="24" spans="1:7" ht="12.75" hidden="1" customHeight="1" x14ac:dyDescent="0.2">
      <c r="A24" s="7"/>
      <c r="B24" s="4">
        <v>840</v>
      </c>
      <c r="C24" s="4">
        <v>28000</v>
      </c>
      <c r="D24" s="44" t="s">
        <v>84</v>
      </c>
      <c r="E24" s="54" t="s">
        <v>84</v>
      </c>
      <c r="F24" s="53" t="s">
        <v>288</v>
      </c>
      <c r="G24" s="4"/>
    </row>
    <row r="25" spans="1:7" ht="12.75" customHeight="1" thickBot="1" x14ac:dyDescent="0.25">
      <c r="A25" s="97"/>
      <c r="B25" s="39"/>
      <c r="C25" s="39"/>
      <c r="D25" s="112"/>
      <c r="E25" s="93"/>
      <c r="F25" s="94"/>
      <c r="G25" s="39"/>
    </row>
    <row r="27" spans="1:7" x14ac:dyDescent="0.2">
      <c r="F27" s="2"/>
    </row>
    <row r="28" spans="1:7" x14ac:dyDescent="0.2">
      <c r="A28" s="102">
        <v>203</v>
      </c>
      <c r="B28" s="102">
        <v>20000</v>
      </c>
      <c r="C28" s="102">
        <f>ROUNDUP(C42/27,)</f>
        <v>261</v>
      </c>
      <c r="D28" s="103" t="s">
        <v>6</v>
      </c>
      <c r="E28" s="102"/>
      <c r="F28" s="104" t="s">
        <v>68</v>
      </c>
      <c r="G28" s="1" t="s">
        <v>58</v>
      </c>
    </row>
    <row r="29" spans="1:7" x14ac:dyDescent="0.2">
      <c r="F29" s="2"/>
    </row>
    <row r="30" spans="1:7" x14ac:dyDescent="0.2">
      <c r="B30" s="106"/>
      <c r="C30" s="124">
        <v>766.024</v>
      </c>
      <c r="D30" s="116" t="s">
        <v>11</v>
      </c>
      <c r="E30" s="106"/>
      <c r="F30" s="117" t="s">
        <v>309</v>
      </c>
    </row>
    <row r="31" spans="1:7" x14ac:dyDescent="0.2">
      <c r="B31" s="106"/>
      <c r="C31" s="124">
        <v>1.75</v>
      </c>
      <c r="D31" s="116" t="s">
        <v>10</v>
      </c>
      <c r="E31" s="106"/>
      <c r="F31" s="117" t="s">
        <v>311</v>
      </c>
    </row>
    <row r="32" spans="1:7" x14ac:dyDescent="0.2">
      <c r="B32" s="106"/>
      <c r="C32" s="129">
        <f>C31*C30</f>
        <v>1340.5419999999999</v>
      </c>
      <c r="D32" s="127" t="s">
        <v>98</v>
      </c>
      <c r="E32" s="127"/>
      <c r="F32" s="128" t="s">
        <v>99</v>
      </c>
    </row>
    <row r="33" spans="1:7" x14ac:dyDescent="0.2">
      <c r="B33" s="106"/>
      <c r="C33" s="124"/>
      <c r="D33" s="106"/>
      <c r="E33" s="106"/>
      <c r="F33" s="117"/>
    </row>
    <row r="34" spans="1:7" x14ac:dyDescent="0.2">
      <c r="B34" s="106"/>
      <c r="C34" s="124">
        <f>0.5*1</f>
        <v>0.5</v>
      </c>
      <c r="D34" s="116" t="s">
        <v>11</v>
      </c>
      <c r="E34" s="106"/>
      <c r="F34" s="117" t="s">
        <v>310</v>
      </c>
    </row>
    <row r="35" spans="1:7" x14ac:dyDescent="0.2">
      <c r="B35" s="106"/>
      <c r="C35" s="124">
        <f>$C$39</f>
        <v>134.5</v>
      </c>
      <c r="D35" s="116" t="s">
        <v>10</v>
      </c>
      <c r="E35" s="106"/>
      <c r="F35" s="117" t="s">
        <v>203</v>
      </c>
    </row>
    <row r="36" spans="1:7" x14ac:dyDescent="0.2">
      <c r="B36" s="106"/>
      <c r="C36" s="129">
        <f>C35*C34</f>
        <v>67.25</v>
      </c>
      <c r="D36" s="127" t="s">
        <v>98</v>
      </c>
      <c r="E36" s="106"/>
      <c r="F36" s="128" t="s">
        <v>99</v>
      </c>
    </row>
    <row r="37" spans="1:7" x14ac:dyDescent="0.2">
      <c r="B37" s="106"/>
      <c r="C37" s="124"/>
      <c r="D37" s="106"/>
      <c r="E37" s="106"/>
      <c r="F37" s="119"/>
    </row>
    <row r="38" spans="1:7" x14ac:dyDescent="0.2">
      <c r="B38" s="106"/>
      <c r="C38" s="124">
        <v>41.89</v>
      </c>
      <c r="D38" s="106" t="s">
        <v>11</v>
      </c>
      <c r="E38" s="106"/>
      <c r="F38" s="119" t="str">
        <f>UPPER("average c/s area below granular material typ b")</f>
        <v>AVERAGE C/S AREA BELOW GRANULAR MATERIAL TYP B</v>
      </c>
    </row>
    <row r="39" spans="1:7" x14ac:dyDescent="0.2">
      <c r="B39" s="106"/>
      <c r="C39" s="124">
        <f>C126</f>
        <v>134.5</v>
      </c>
      <c r="D39" s="116" t="s">
        <v>10</v>
      </c>
      <c r="E39" s="106"/>
      <c r="F39" s="117" t="s">
        <v>203</v>
      </c>
    </row>
    <row r="40" spans="1:7" x14ac:dyDescent="0.2">
      <c r="B40" s="106"/>
      <c r="C40" s="129">
        <f>C39*C38</f>
        <v>5634.2049999999999</v>
      </c>
      <c r="D40" s="127" t="s">
        <v>98</v>
      </c>
      <c r="E40" s="127"/>
      <c r="F40" s="128" t="s">
        <v>308</v>
      </c>
    </row>
    <row r="41" spans="1:7" ht="13.5" customHeight="1" x14ac:dyDescent="0.2">
      <c r="B41" s="106"/>
      <c r="C41" s="106"/>
      <c r="D41" s="106"/>
      <c r="E41" s="106"/>
      <c r="F41" s="117"/>
    </row>
    <row r="42" spans="1:7" ht="13.5" customHeight="1" x14ac:dyDescent="0.25">
      <c r="B42" s="106"/>
      <c r="C42" s="126">
        <f>C32+C36+C40</f>
        <v>7041.9969999999994</v>
      </c>
      <c r="D42" s="127" t="s">
        <v>98</v>
      </c>
      <c r="E42" s="127"/>
      <c r="F42" s="128" t="s">
        <v>159</v>
      </c>
    </row>
    <row r="43" spans="1:7" x14ac:dyDescent="0.2">
      <c r="F43" s="2"/>
    </row>
    <row r="44" spans="1:7" x14ac:dyDescent="0.2">
      <c r="A44" s="61">
        <v>203</v>
      </c>
      <c r="B44" s="61">
        <v>35110</v>
      </c>
      <c r="C44" s="61">
        <f>ROUNDUP(C48/27,)</f>
        <v>1112</v>
      </c>
      <c r="D44" s="62" t="s">
        <v>6</v>
      </c>
      <c r="E44" s="61"/>
      <c r="F44" s="67" t="s">
        <v>69</v>
      </c>
      <c r="G44" s="1" t="s">
        <v>58</v>
      </c>
    </row>
    <row r="45" spans="1:7" x14ac:dyDescent="0.2">
      <c r="A45" s="24"/>
      <c r="B45" s="24"/>
      <c r="C45" s="24"/>
      <c r="D45" s="63"/>
      <c r="E45" s="24"/>
      <c r="F45" s="68"/>
    </row>
    <row r="46" spans="1:7" ht="15" x14ac:dyDescent="0.25">
      <c r="B46" s="106"/>
      <c r="C46" s="118">
        <f>746.37-736</f>
        <v>10.370000000000005</v>
      </c>
      <c r="D46" s="116" t="s">
        <v>10</v>
      </c>
      <c r="E46" s="106"/>
      <c r="F46" s="117" t="s">
        <v>298</v>
      </c>
    </row>
    <row r="47" spans="1:7" ht="15" x14ac:dyDescent="0.25">
      <c r="A47" s="24"/>
      <c r="B47" s="106"/>
      <c r="C47" s="118">
        <v>2893.49</v>
      </c>
      <c r="D47" s="116" t="s">
        <v>11</v>
      </c>
      <c r="E47" s="106"/>
      <c r="F47" s="117" t="s">
        <v>297</v>
      </c>
    </row>
    <row r="48" spans="1:7" x14ac:dyDescent="0.2">
      <c r="A48" s="24"/>
      <c r="B48" s="106"/>
      <c r="C48" s="131">
        <f>C47*C46</f>
        <v>30005.491300000012</v>
      </c>
      <c r="D48" s="116" t="s">
        <v>98</v>
      </c>
      <c r="E48" s="106"/>
      <c r="F48" s="117" t="s">
        <v>99</v>
      </c>
    </row>
    <row r="49" spans="1:7" x14ac:dyDescent="0.2">
      <c r="A49" s="24"/>
      <c r="B49" s="24"/>
      <c r="D49" s="47"/>
      <c r="F49" s="46"/>
    </row>
    <row r="50" spans="1:7" x14ac:dyDescent="0.2">
      <c r="A50" s="102">
        <v>203</v>
      </c>
      <c r="B50" s="102">
        <v>98100</v>
      </c>
      <c r="C50" s="90">
        <f>C52/9</f>
        <v>272.55555555555554</v>
      </c>
      <c r="D50" s="103" t="s">
        <v>9</v>
      </c>
      <c r="E50" s="102"/>
      <c r="F50" s="104" t="s">
        <v>280</v>
      </c>
      <c r="G50" s="1" t="s">
        <v>58</v>
      </c>
    </row>
    <row r="51" spans="1:7" x14ac:dyDescent="0.2">
      <c r="A51" s="24"/>
      <c r="B51" s="24"/>
      <c r="D51" s="47"/>
      <c r="F51" s="46"/>
    </row>
    <row r="52" spans="1:7" ht="15" x14ac:dyDescent="0.25">
      <c r="A52" s="24"/>
      <c r="B52" s="106"/>
      <c r="C52" s="118">
        <f>2224+229</f>
        <v>2453</v>
      </c>
      <c r="D52" s="116" t="s">
        <v>11</v>
      </c>
      <c r="E52" s="106"/>
      <c r="F52" s="117" t="s">
        <v>305</v>
      </c>
    </row>
    <row r="53" spans="1:7" x14ac:dyDescent="0.2">
      <c r="A53" s="24"/>
      <c r="B53" s="24"/>
      <c r="C53" s="24"/>
      <c r="D53" s="24"/>
      <c r="E53" s="24"/>
      <c r="F53" s="26"/>
    </row>
    <row r="54" spans="1:7" x14ac:dyDescent="0.2">
      <c r="A54" s="80">
        <v>203</v>
      </c>
      <c r="B54" s="80">
        <v>35120</v>
      </c>
      <c r="C54" s="80">
        <f>ROUNDUP(C58/27,)</f>
        <v>29</v>
      </c>
      <c r="D54" s="80" t="s">
        <v>6</v>
      </c>
      <c r="E54" s="80"/>
      <c r="F54" s="137" t="s">
        <v>95</v>
      </c>
    </row>
    <row r="55" spans="1:7" x14ac:dyDescent="0.2">
      <c r="A55" s="47"/>
      <c r="B55" s="47"/>
      <c r="C55" s="47"/>
      <c r="D55" s="47"/>
      <c r="E55" s="47"/>
      <c r="F55" s="46"/>
    </row>
    <row r="56" spans="1:7" ht="15" x14ac:dyDescent="0.25">
      <c r="A56" s="47"/>
      <c r="B56" s="134"/>
      <c r="C56" s="136">
        <v>760.5</v>
      </c>
      <c r="D56" s="134" t="s">
        <v>11</v>
      </c>
      <c r="E56" s="134"/>
      <c r="F56" s="135" t="s">
        <v>304</v>
      </c>
    </row>
    <row r="57" spans="1:7" ht="15" x14ac:dyDescent="0.25">
      <c r="A57" s="47"/>
      <c r="B57" s="134"/>
      <c r="C57" s="136">
        <v>1</v>
      </c>
      <c r="D57" s="134" t="s">
        <v>10</v>
      </c>
      <c r="E57" s="134"/>
      <c r="F57" s="135" t="s">
        <v>97</v>
      </c>
    </row>
    <row r="58" spans="1:7" x14ac:dyDescent="0.2">
      <c r="A58" s="47"/>
      <c r="B58" s="134"/>
      <c r="C58" s="134">
        <f>C57*C56</f>
        <v>760.5</v>
      </c>
      <c r="D58" s="134" t="s">
        <v>98</v>
      </c>
      <c r="E58" s="134"/>
      <c r="F58" s="135" t="s">
        <v>99</v>
      </c>
    </row>
    <row r="59" spans="1:7" x14ac:dyDescent="0.2">
      <c r="A59" s="108"/>
      <c r="B59" s="108"/>
      <c r="C59" s="108"/>
      <c r="D59" s="108"/>
      <c r="E59" s="108"/>
      <c r="F59" s="109"/>
    </row>
    <row r="60" spans="1:7" x14ac:dyDescent="0.2">
      <c r="F60" s="2"/>
    </row>
    <row r="61" spans="1:7" x14ac:dyDescent="0.2">
      <c r="A61" s="74">
        <v>203</v>
      </c>
      <c r="B61" s="70">
        <v>65000</v>
      </c>
      <c r="C61" s="70">
        <f>C63</f>
        <v>2</v>
      </c>
      <c r="D61" s="66" t="s">
        <v>37</v>
      </c>
      <c r="E61" s="71"/>
      <c r="F61" s="58" t="s">
        <v>71</v>
      </c>
      <c r="G61" s="1" t="s">
        <v>58</v>
      </c>
    </row>
    <row r="62" spans="1:7" x14ac:dyDescent="0.2">
      <c r="F62" s="2"/>
    </row>
    <row r="63" spans="1:7" ht="15" x14ac:dyDescent="0.25">
      <c r="B63" s="106"/>
      <c r="C63" s="118">
        <v>2</v>
      </c>
      <c r="D63" s="116" t="s">
        <v>37</v>
      </c>
      <c r="E63" s="106"/>
      <c r="F63" s="117" t="s">
        <v>192</v>
      </c>
    </row>
    <row r="64" spans="1:7" x14ac:dyDescent="0.2">
      <c r="F64" s="2"/>
    </row>
    <row r="65" spans="1:7" x14ac:dyDescent="0.2">
      <c r="F65" s="2"/>
    </row>
    <row r="66" spans="1:7" x14ac:dyDescent="0.2">
      <c r="F66" s="2"/>
    </row>
    <row r="67" spans="1:7" x14ac:dyDescent="0.2">
      <c r="A67" s="61">
        <v>512</v>
      </c>
      <c r="B67" s="61">
        <v>10001</v>
      </c>
      <c r="C67" s="61">
        <f>ROUNDUP(C79/9,)</f>
        <v>129</v>
      </c>
      <c r="D67" s="61" t="s">
        <v>9</v>
      </c>
      <c r="E67" s="61"/>
      <c r="F67" s="58" t="s">
        <v>87</v>
      </c>
      <c r="G67" s="1" t="s">
        <v>58</v>
      </c>
    </row>
    <row r="68" spans="1:7" x14ac:dyDescent="0.2">
      <c r="F68" s="2"/>
    </row>
    <row r="69" spans="1:7" x14ac:dyDescent="0.2">
      <c r="B69" s="106"/>
      <c r="C69" s="116">
        <v>1008.75</v>
      </c>
      <c r="D69" s="106" t="s">
        <v>11</v>
      </c>
      <c r="E69" s="106"/>
      <c r="F69" s="117" t="s">
        <v>289</v>
      </c>
    </row>
    <row r="70" spans="1:7" x14ac:dyDescent="0.2">
      <c r="B70" s="106"/>
      <c r="C70" s="106"/>
      <c r="D70" s="106"/>
      <c r="E70" s="106"/>
      <c r="F70" s="117" t="s">
        <v>250</v>
      </c>
    </row>
    <row r="71" spans="1:7" ht="15" x14ac:dyDescent="0.25">
      <c r="B71" s="106"/>
      <c r="C71" s="118">
        <v>2</v>
      </c>
      <c r="D71" s="106" t="s">
        <v>10</v>
      </c>
      <c r="E71" s="106"/>
      <c r="F71" s="117" t="s">
        <v>129</v>
      </c>
    </row>
    <row r="72" spans="1:7" ht="15" x14ac:dyDescent="0.25">
      <c r="B72" s="106"/>
      <c r="C72" s="118">
        <v>0.83299999999999996</v>
      </c>
      <c r="D72" s="106" t="s">
        <v>10</v>
      </c>
      <c r="E72" s="106"/>
      <c r="F72" s="119" t="s">
        <v>130</v>
      </c>
    </row>
    <row r="73" spans="1:7" ht="15" x14ac:dyDescent="0.25">
      <c r="B73" s="106"/>
      <c r="C73" s="120">
        <v>0.5</v>
      </c>
      <c r="D73" s="116" t="s">
        <v>10</v>
      </c>
      <c r="E73" s="116"/>
      <c r="F73" s="117" t="s">
        <v>131</v>
      </c>
    </row>
    <row r="74" spans="1:7" ht="15" x14ac:dyDescent="0.25">
      <c r="B74" s="106"/>
      <c r="C74" s="120"/>
      <c r="D74" s="116" t="s">
        <v>10</v>
      </c>
      <c r="E74" s="116"/>
      <c r="F74" s="117" t="s">
        <v>284</v>
      </c>
    </row>
    <row r="75" spans="1:7" ht="15" x14ac:dyDescent="0.25">
      <c r="B75" s="106"/>
      <c r="C75" s="118">
        <v>44</v>
      </c>
      <c r="D75" s="106" t="s">
        <v>10</v>
      </c>
      <c r="E75" s="106"/>
      <c r="F75" s="119" t="s">
        <v>290</v>
      </c>
    </row>
    <row r="76" spans="1:7" x14ac:dyDescent="0.2">
      <c r="B76" s="106"/>
      <c r="C76" s="106"/>
      <c r="D76" s="106"/>
      <c r="E76" s="106"/>
      <c r="F76" s="119"/>
    </row>
    <row r="77" spans="1:7" x14ac:dyDescent="0.2">
      <c r="B77" s="106"/>
      <c r="C77" s="106">
        <f>(C71*C75)+(C72*C75)+(C73*C75)</f>
        <v>146.65199999999999</v>
      </c>
      <c r="D77" s="106" t="s">
        <v>11</v>
      </c>
      <c r="E77" s="106"/>
      <c r="F77" s="119" t="s">
        <v>133</v>
      </c>
    </row>
    <row r="78" spans="1:7" x14ac:dyDescent="0.2">
      <c r="B78" s="106"/>
      <c r="C78" s="106"/>
      <c r="D78" s="106"/>
      <c r="E78" s="106"/>
      <c r="F78" s="119"/>
    </row>
    <row r="79" spans="1:7" x14ac:dyDescent="0.2">
      <c r="B79" s="106"/>
      <c r="C79" s="106">
        <f>C69+C77</f>
        <v>1155.402</v>
      </c>
      <c r="D79" s="106" t="s">
        <v>11</v>
      </c>
      <c r="E79" s="106"/>
      <c r="F79" s="119" t="s">
        <v>134</v>
      </c>
    </row>
    <row r="80" spans="1:7" x14ac:dyDescent="0.2">
      <c r="F80" s="2"/>
    </row>
    <row r="81" spans="1:7" x14ac:dyDescent="0.2">
      <c r="A81" s="61">
        <v>512</v>
      </c>
      <c r="B81" s="61">
        <v>10100</v>
      </c>
      <c r="C81" s="61">
        <f>ROUNDUP(C92/9,)</f>
        <v>168</v>
      </c>
      <c r="D81" s="61" t="s">
        <v>9</v>
      </c>
      <c r="E81" s="61"/>
      <c r="F81" s="58" t="s">
        <v>88</v>
      </c>
      <c r="G81" s="1" t="s">
        <v>58</v>
      </c>
    </row>
    <row r="82" spans="1:7" x14ac:dyDescent="0.2">
      <c r="F82" s="2"/>
    </row>
    <row r="83" spans="1:7" x14ac:dyDescent="0.2">
      <c r="B83" s="106"/>
      <c r="C83" s="106">
        <v>1079.82</v>
      </c>
      <c r="D83" s="106" t="s">
        <v>11</v>
      </c>
      <c r="E83" s="106"/>
      <c r="F83" s="117" t="s">
        <v>306</v>
      </c>
    </row>
    <row r="84" spans="1:7" x14ac:dyDescent="0.2">
      <c r="B84" s="106"/>
      <c r="C84" s="106"/>
      <c r="D84" s="106"/>
      <c r="E84" s="106"/>
      <c r="F84" s="119"/>
    </row>
    <row r="85" spans="1:7" ht="15" x14ac:dyDescent="0.25">
      <c r="B85" s="106"/>
      <c r="C85" s="118">
        <v>2</v>
      </c>
      <c r="D85" s="106" t="s">
        <v>10</v>
      </c>
      <c r="E85" s="106"/>
      <c r="F85" s="119" t="s">
        <v>129</v>
      </c>
    </row>
    <row r="86" spans="1:7" ht="15" x14ac:dyDescent="0.25">
      <c r="B86" s="106"/>
      <c r="C86" s="118">
        <v>0.83</v>
      </c>
      <c r="D86" s="106" t="s">
        <v>10</v>
      </c>
      <c r="E86" s="106"/>
      <c r="F86" s="119" t="s">
        <v>130</v>
      </c>
    </row>
    <row r="87" spans="1:7" ht="15" x14ac:dyDescent="0.25">
      <c r="B87" s="106"/>
      <c r="C87" s="120">
        <v>0.5</v>
      </c>
      <c r="D87" s="116" t="s">
        <v>10</v>
      </c>
      <c r="E87" s="116"/>
      <c r="F87" s="117" t="s">
        <v>131</v>
      </c>
    </row>
    <row r="88" spans="1:7" ht="15" x14ac:dyDescent="0.25">
      <c r="B88" s="106"/>
      <c r="C88" s="120">
        <v>127.75</v>
      </c>
      <c r="D88" s="116" t="s">
        <v>10</v>
      </c>
      <c r="E88" s="116"/>
      <c r="F88" s="117" t="s">
        <v>307</v>
      </c>
    </row>
    <row r="89" spans="1:7" x14ac:dyDescent="0.2">
      <c r="B89" s="106"/>
      <c r="C89" s="106"/>
      <c r="D89" s="106"/>
      <c r="E89" s="106"/>
      <c r="F89" s="119"/>
    </row>
    <row r="90" spans="1:7" x14ac:dyDescent="0.2">
      <c r="B90" s="106"/>
      <c r="C90" s="106">
        <f>C85*C88+C86*C88+C87*C88</f>
        <v>425.40750000000003</v>
      </c>
      <c r="D90" s="106" t="s">
        <v>11</v>
      </c>
      <c r="E90" s="106"/>
      <c r="F90" s="117" t="s">
        <v>286</v>
      </c>
    </row>
    <row r="91" spans="1:7" x14ac:dyDescent="0.2">
      <c r="B91" s="106"/>
      <c r="C91" s="106"/>
      <c r="D91" s="106"/>
      <c r="E91" s="106"/>
      <c r="F91" s="119"/>
    </row>
    <row r="92" spans="1:7" x14ac:dyDescent="0.2">
      <c r="B92" s="106"/>
      <c r="C92" s="106">
        <f>C83+C90</f>
        <v>1505.2275</v>
      </c>
      <c r="D92" s="106" t="s">
        <v>11</v>
      </c>
      <c r="E92" s="106"/>
      <c r="F92" s="119" t="s">
        <v>134</v>
      </c>
    </row>
    <row r="93" spans="1:7" x14ac:dyDescent="0.2">
      <c r="F93" s="2"/>
    </row>
    <row r="94" spans="1:7" x14ac:dyDescent="0.2">
      <c r="A94" s="61">
        <v>840</v>
      </c>
      <c r="B94" s="61">
        <v>20001</v>
      </c>
      <c r="C94" s="61">
        <f>ROUNDUP(C96,)</f>
        <v>2115</v>
      </c>
      <c r="D94" s="61" t="s">
        <v>11</v>
      </c>
      <c r="E94" s="61"/>
      <c r="F94" s="58" t="s">
        <v>73</v>
      </c>
      <c r="G94" s="1" t="s">
        <v>58</v>
      </c>
    </row>
    <row r="95" spans="1:7" x14ac:dyDescent="0.2">
      <c r="F95" s="2"/>
    </row>
    <row r="96" spans="1:7" x14ac:dyDescent="0.2">
      <c r="C96" s="106">
        <v>2115</v>
      </c>
      <c r="D96" s="121" t="s">
        <v>11</v>
      </c>
      <c r="E96" s="106"/>
      <c r="F96" s="117" t="s">
        <v>282</v>
      </c>
    </row>
    <row r="97" spans="1:7" x14ac:dyDescent="0.2">
      <c r="D97" s="47"/>
      <c r="F97" s="46"/>
    </row>
    <row r="98" spans="1:7" x14ac:dyDescent="0.2">
      <c r="A98" s="61">
        <v>840</v>
      </c>
      <c r="B98" s="61">
        <v>21000</v>
      </c>
      <c r="C98" s="61">
        <f>ROUNDUP(C116/27,)</f>
        <v>298</v>
      </c>
      <c r="D98" s="61" t="s">
        <v>6</v>
      </c>
      <c r="E98" s="61"/>
      <c r="F98" s="69" t="s">
        <v>74</v>
      </c>
      <c r="G98" s="1" t="s">
        <v>58</v>
      </c>
    </row>
    <row r="99" spans="1:7" x14ac:dyDescent="0.2">
      <c r="F99" s="2"/>
    </row>
    <row r="100" spans="1:7" ht="15" x14ac:dyDescent="0.25">
      <c r="B100" s="158" t="s">
        <v>320</v>
      </c>
      <c r="C100" s="130">
        <f>(59.57+51.66)/2</f>
        <v>55.614999999999995</v>
      </c>
      <c r="D100" s="116" t="s">
        <v>11</v>
      </c>
      <c r="E100" s="106"/>
      <c r="F100" s="117" t="s">
        <v>313</v>
      </c>
      <c r="G100" s="156" t="s">
        <v>318</v>
      </c>
    </row>
    <row r="101" spans="1:7" ht="15" x14ac:dyDescent="0.25">
      <c r="B101" s="159"/>
      <c r="C101" s="125">
        <f>C113</f>
        <v>134.5</v>
      </c>
      <c r="D101" s="116" t="s">
        <v>10</v>
      </c>
      <c r="E101" s="106"/>
      <c r="F101" s="117" t="s">
        <v>316</v>
      </c>
      <c r="G101" s="156"/>
    </row>
    <row r="102" spans="1:7" ht="15" x14ac:dyDescent="0.25">
      <c r="B102" s="159"/>
      <c r="C102" s="133">
        <f>C101*C100</f>
        <v>7480.2174999999997</v>
      </c>
      <c r="D102" s="134" t="s">
        <v>98</v>
      </c>
      <c r="E102" s="134"/>
      <c r="F102" s="135" t="s">
        <v>317</v>
      </c>
      <c r="G102" s="156"/>
    </row>
    <row r="103" spans="1:7" ht="15" x14ac:dyDescent="0.25">
      <c r="B103" s="159"/>
      <c r="C103" s="130">
        <v>10</v>
      </c>
      <c r="D103" s="116" t="s">
        <v>10</v>
      </c>
      <c r="E103" s="106"/>
      <c r="F103" s="117" t="s">
        <v>315</v>
      </c>
      <c r="G103" s="132"/>
    </row>
    <row r="104" spans="1:7" ht="15" x14ac:dyDescent="0.25">
      <c r="B104" s="159"/>
      <c r="C104" s="125">
        <f>C100/C103</f>
        <v>5.5614999999999997</v>
      </c>
      <c r="D104" s="116" t="s">
        <v>10</v>
      </c>
      <c r="E104" s="106"/>
      <c r="F104" s="117" t="s">
        <v>321</v>
      </c>
      <c r="G104" s="157" t="s">
        <v>319</v>
      </c>
    </row>
    <row r="105" spans="1:7" ht="15" x14ac:dyDescent="0.25">
      <c r="B105" s="159"/>
      <c r="C105" s="130">
        <v>1181.8800000000001</v>
      </c>
      <c r="D105" s="116" t="s">
        <v>11</v>
      </c>
      <c r="E105" s="106"/>
      <c r="F105" s="117" t="s">
        <v>314</v>
      </c>
      <c r="G105" s="157"/>
    </row>
    <row r="106" spans="1:7" ht="15" x14ac:dyDescent="0.25">
      <c r="B106" s="159"/>
      <c r="C106" s="139">
        <f>C105*C104</f>
        <v>6573.0256200000003</v>
      </c>
      <c r="D106" s="127" t="s">
        <v>98</v>
      </c>
      <c r="E106" s="127"/>
      <c r="F106" s="128" t="s">
        <v>99</v>
      </c>
      <c r="G106" s="157"/>
    </row>
    <row r="107" spans="1:7" ht="15" x14ac:dyDescent="0.25">
      <c r="B107" s="160"/>
      <c r="C107" s="138"/>
      <c r="D107" s="116"/>
      <c r="E107" s="106"/>
      <c r="F107" s="117"/>
    </row>
    <row r="108" spans="1:7" ht="15" x14ac:dyDescent="0.25">
      <c r="B108" s="106"/>
      <c r="C108" s="138">
        <v>788.19119999999998</v>
      </c>
      <c r="D108" s="116" t="s">
        <v>11</v>
      </c>
      <c r="E108" s="106"/>
      <c r="F108" s="117" t="s">
        <v>312</v>
      </c>
    </row>
    <row r="109" spans="1:7" x14ac:dyDescent="0.2">
      <c r="B109" s="106"/>
      <c r="C109" s="124">
        <v>1.75</v>
      </c>
      <c r="D109" s="116" t="s">
        <v>10</v>
      </c>
      <c r="E109" s="106"/>
      <c r="F109" s="117" t="s">
        <v>311</v>
      </c>
    </row>
    <row r="110" spans="1:7" x14ac:dyDescent="0.2">
      <c r="B110" s="106"/>
      <c r="C110" s="129">
        <f>C109*C108</f>
        <v>1379.3345999999999</v>
      </c>
      <c r="D110" s="127" t="s">
        <v>98</v>
      </c>
      <c r="E110" s="127"/>
      <c r="F110" s="128" t="s">
        <v>99</v>
      </c>
    </row>
    <row r="111" spans="1:7" x14ac:dyDescent="0.2">
      <c r="B111" s="106"/>
      <c r="C111" s="124"/>
      <c r="D111" s="106"/>
      <c r="E111" s="106"/>
      <c r="F111" s="117"/>
    </row>
    <row r="112" spans="1:7" x14ac:dyDescent="0.2">
      <c r="B112" s="106"/>
      <c r="C112" s="124">
        <f>0.5*1</f>
        <v>0.5</v>
      </c>
      <c r="D112" s="116" t="s">
        <v>11</v>
      </c>
      <c r="E112" s="106"/>
      <c r="F112" s="117" t="s">
        <v>310</v>
      </c>
    </row>
    <row r="113" spans="1:7" x14ac:dyDescent="0.2">
      <c r="B113" s="106"/>
      <c r="C113" s="124">
        <f>$C$39</f>
        <v>134.5</v>
      </c>
      <c r="D113" s="116" t="s">
        <v>10</v>
      </c>
      <c r="E113" s="106"/>
      <c r="F113" s="117" t="s">
        <v>203</v>
      </c>
    </row>
    <row r="114" spans="1:7" x14ac:dyDescent="0.2">
      <c r="B114" s="106"/>
      <c r="C114" s="129">
        <f>C113*C112</f>
        <v>67.25</v>
      </c>
      <c r="D114" s="127" t="s">
        <v>98</v>
      </c>
      <c r="E114" s="106"/>
      <c r="F114" s="128" t="s">
        <v>99</v>
      </c>
    </row>
    <row r="115" spans="1:7" x14ac:dyDescent="0.2">
      <c r="B115" s="106"/>
      <c r="C115" s="106"/>
      <c r="D115" s="106"/>
      <c r="E115" s="106"/>
      <c r="F115" s="117"/>
    </row>
    <row r="116" spans="1:7" ht="15" x14ac:dyDescent="0.25">
      <c r="B116" s="106"/>
      <c r="C116" s="126">
        <f>C106+C110+C114</f>
        <v>8019.6102200000005</v>
      </c>
      <c r="D116" s="106" t="s">
        <v>98</v>
      </c>
      <c r="E116" s="106"/>
      <c r="F116" s="117" t="s">
        <v>159</v>
      </c>
    </row>
    <row r="117" spans="1:7" x14ac:dyDescent="0.2">
      <c r="F117" s="2"/>
    </row>
    <row r="118" spans="1:7" x14ac:dyDescent="0.2">
      <c r="A118" s="61">
        <v>840</v>
      </c>
      <c r="B118" s="61">
        <v>22000</v>
      </c>
      <c r="C118" s="102">
        <f>ROUNDUP(C120/9,)</f>
        <v>368</v>
      </c>
      <c r="D118" s="61" t="s">
        <v>9</v>
      </c>
      <c r="E118" s="61"/>
      <c r="F118" s="69" t="s">
        <v>75</v>
      </c>
      <c r="G118" s="1" t="s">
        <v>58</v>
      </c>
    </row>
    <row r="119" spans="1:7" x14ac:dyDescent="0.2">
      <c r="F119" s="2"/>
    </row>
    <row r="120" spans="1:7" ht="15" x14ac:dyDescent="0.25">
      <c r="C120" s="118">
        <f>2986+326</f>
        <v>3312</v>
      </c>
      <c r="D120" s="106" t="s">
        <v>11</v>
      </c>
      <c r="E120" s="106"/>
      <c r="F120" s="119" t="s">
        <v>295</v>
      </c>
    </row>
    <row r="121" spans="1:7" x14ac:dyDescent="0.2">
      <c r="F121" s="2"/>
    </row>
    <row r="122" spans="1:7" x14ac:dyDescent="0.2">
      <c r="F122" s="2"/>
    </row>
    <row r="123" spans="1:7" x14ac:dyDescent="0.2">
      <c r="A123" s="61">
        <v>840</v>
      </c>
      <c r="B123" s="61">
        <v>23000</v>
      </c>
      <c r="C123" s="61">
        <f>ROUNDUP(C130/27,)</f>
        <v>1851</v>
      </c>
      <c r="D123" s="62" t="s">
        <v>6</v>
      </c>
      <c r="E123" s="61"/>
      <c r="F123" s="67" t="s">
        <v>76</v>
      </c>
      <c r="G123" s="1" t="s">
        <v>58</v>
      </c>
    </row>
    <row r="124" spans="1:7" x14ac:dyDescent="0.2">
      <c r="F124" s="2"/>
    </row>
    <row r="125" spans="1:7" ht="15" x14ac:dyDescent="0.25">
      <c r="B125" s="106"/>
      <c r="C125" s="122">
        <v>2250</v>
      </c>
      <c r="D125" s="116" t="s">
        <v>11</v>
      </c>
      <c r="E125" s="106"/>
      <c r="F125" s="117" t="s">
        <v>300</v>
      </c>
    </row>
    <row r="126" spans="1:7" ht="15" x14ac:dyDescent="0.25">
      <c r="B126" s="106"/>
      <c r="C126" s="122">
        <v>134.5</v>
      </c>
      <c r="D126" s="116" t="s">
        <v>10</v>
      </c>
      <c r="E126" s="106"/>
      <c r="F126" s="117" t="s">
        <v>301</v>
      </c>
    </row>
    <row r="127" spans="1:7" ht="15" x14ac:dyDescent="0.25">
      <c r="B127" s="106"/>
      <c r="C127" s="123">
        <f>C125/C126</f>
        <v>16.728624535315983</v>
      </c>
      <c r="D127" s="116" t="s">
        <v>10</v>
      </c>
      <c r="E127" s="106"/>
      <c r="F127" s="117" t="s">
        <v>302</v>
      </c>
    </row>
    <row r="128" spans="1:7" ht="15" x14ac:dyDescent="0.25">
      <c r="B128" s="106"/>
      <c r="C128" s="122">
        <v>2986</v>
      </c>
      <c r="D128" s="116" t="s">
        <v>11</v>
      </c>
      <c r="E128" s="106"/>
      <c r="F128" s="117" t="s">
        <v>299</v>
      </c>
    </row>
    <row r="129" spans="1:7" x14ac:dyDescent="0.2">
      <c r="B129" s="106"/>
      <c r="C129" s="106"/>
      <c r="D129" s="106"/>
      <c r="E129" s="106"/>
      <c r="F129" s="117"/>
    </row>
    <row r="130" spans="1:7" ht="15" x14ac:dyDescent="0.25">
      <c r="B130" s="106"/>
      <c r="C130" s="123">
        <f>C127*C128</f>
        <v>49951.672862453524</v>
      </c>
      <c r="D130" s="106" t="s">
        <v>98</v>
      </c>
      <c r="E130" s="106"/>
      <c r="F130" s="117" t="s">
        <v>303</v>
      </c>
    </row>
    <row r="131" spans="1:7" x14ac:dyDescent="0.2">
      <c r="F131" s="2"/>
    </row>
    <row r="132" spans="1:7" x14ac:dyDescent="0.2">
      <c r="A132" s="61">
        <v>840</v>
      </c>
      <c r="B132" s="61">
        <v>25010</v>
      </c>
      <c r="C132" s="61">
        <f>C134+C135</f>
        <v>312</v>
      </c>
      <c r="D132" s="61" t="s">
        <v>10</v>
      </c>
      <c r="E132" s="61"/>
      <c r="F132" s="58" t="s">
        <v>78</v>
      </c>
      <c r="G132" s="1" t="s">
        <v>58</v>
      </c>
    </row>
    <row r="133" spans="1:7" x14ac:dyDescent="0.2">
      <c r="F133" s="2"/>
    </row>
    <row r="134" spans="1:7" ht="15" x14ac:dyDescent="0.25">
      <c r="B134" s="106"/>
      <c r="C134" s="118">
        <f>132*2+25+13+10</f>
        <v>312</v>
      </c>
      <c r="D134" s="106" t="s">
        <v>10</v>
      </c>
      <c r="E134" s="106"/>
      <c r="F134" s="117" t="s">
        <v>283</v>
      </c>
    </row>
    <row r="135" spans="1:7" ht="15" x14ac:dyDescent="0.25">
      <c r="B135" s="106"/>
      <c r="C135" s="118"/>
      <c r="D135" s="106"/>
      <c r="E135" s="106"/>
      <c r="F135" s="117"/>
    </row>
    <row r="136" spans="1:7" x14ac:dyDescent="0.2">
      <c r="F136" s="2"/>
    </row>
    <row r="137" spans="1:7" x14ac:dyDescent="0.2">
      <c r="F137" s="2"/>
    </row>
    <row r="138" spans="1:7" x14ac:dyDescent="0.2">
      <c r="A138" s="70">
        <v>840</v>
      </c>
      <c r="B138" s="70">
        <v>26000</v>
      </c>
      <c r="C138" s="70">
        <f>C140</f>
        <v>134.5</v>
      </c>
      <c r="D138" s="66" t="s">
        <v>10</v>
      </c>
      <c r="E138" s="71"/>
      <c r="F138" s="58" t="s">
        <v>80</v>
      </c>
      <c r="G138" s="1" t="s">
        <v>58</v>
      </c>
    </row>
    <row r="139" spans="1:7" x14ac:dyDescent="0.2">
      <c r="F139" s="2"/>
    </row>
    <row r="140" spans="1:7" ht="15" x14ac:dyDescent="0.25">
      <c r="B140" s="106"/>
      <c r="C140" s="118">
        <v>134.5</v>
      </c>
      <c r="D140" s="106" t="s">
        <v>10</v>
      </c>
      <c r="E140" s="106"/>
      <c r="F140" s="117" t="s">
        <v>172</v>
      </c>
    </row>
    <row r="141" spans="1:7" x14ac:dyDescent="0.2">
      <c r="F141" s="2"/>
    </row>
    <row r="142" spans="1:7" x14ac:dyDescent="0.2">
      <c r="A142" s="70">
        <v>840</v>
      </c>
      <c r="B142" s="70">
        <v>26050</v>
      </c>
      <c r="C142" s="70">
        <f>ROUNDUP(C148,)</f>
        <v>1846</v>
      </c>
      <c r="D142" s="66" t="s">
        <v>11</v>
      </c>
      <c r="E142" s="71"/>
      <c r="F142" s="58" t="s">
        <v>85</v>
      </c>
      <c r="G142" s="1" t="s">
        <v>58</v>
      </c>
    </row>
    <row r="143" spans="1:7" x14ac:dyDescent="0.2">
      <c r="F143" s="2"/>
    </row>
    <row r="144" spans="1:7" ht="15" x14ac:dyDescent="0.25">
      <c r="B144" s="106"/>
      <c r="C144" s="118">
        <f>C96</f>
        <v>2115</v>
      </c>
      <c r="D144" s="116" t="s">
        <v>11</v>
      </c>
      <c r="E144" s="106"/>
      <c r="F144" s="117" t="s">
        <v>178</v>
      </c>
    </row>
    <row r="145" spans="1:7" ht="15" x14ac:dyDescent="0.25">
      <c r="B145" s="106"/>
      <c r="C145" s="118">
        <f>C140</f>
        <v>134.5</v>
      </c>
      <c r="D145" s="116"/>
      <c r="E145" s="106"/>
      <c r="F145" s="117" t="s">
        <v>294</v>
      </c>
    </row>
    <row r="146" spans="1:7" ht="15" x14ac:dyDescent="0.25">
      <c r="B146" s="106"/>
      <c r="C146" s="118">
        <v>2</v>
      </c>
      <c r="D146" s="116"/>
      <c r="E146" s="106"/>
      <c r="F146" s="117" t="s">
        <v>292</v>
      </c>
    </row>
    <row r="147" spans="1:7" ht="15" x14ac:dyDescent="0.25">
      <c r="B147" s="106"/>
      <c r="C147" s="118"/>
      <c r="D147" s="116"/>
      <c r="E147" s="106"/>
      <c r="F147" s="117"/>
    </row>
    <row r="148" spans="1:7" ht="15" x14ac:dyDescent="0.25">
      <c r="B148" s="106"/>
      <c r="C148" s="118">
        <f>C144-C145*C146</f>
        <v>1846</v>
      </c>
      <c r="D148" s="116"/>
      <c r="E148" s="106"/>
      <c r="F148" s="117" t="s">
        <v>293</v>
      </c>
    </row>
    <row r="150" spans="1:7" x14ac:dyDescent="0.2">
      <c r="A150" s="98">
        <f>B13</f>
        <v>516</v>
      </c>
      <c r="B150" s="98">
        <f>C13</f>
        <v>13200</v>
      </c>
      <c r="C150" s="105">
        <f>C155</f>
        <v>120.96</v>
      </c>
      <c r="D150" s="98" t="str">
        <f>E13</f>
        <v>SQ FT</v>
      </c>
      <c r="E150" s="99"/>
      <c r="F150" s="100" t="s">
        <v>281</v>
      </c>
      <c r="G150" s="1" t="s">
        <v>58</v>
      </c>
    </row>
    <row r="151" spans="1:7" x14ac:dyDescent="0.2">
      <c r="A151"/>
      <c r="B151"/>
      <c r="C151"/>
      <c r="D151"/>
      <c r="E151"/>
      <c r="F151" s="2"/>
    </row>
    <row r="152" spans="1:7" ht="15" x14ac:dyDescent="0.25">
      <c r="A152"/>
      <c r="B152" s="107"/>
      <c r="C152" s="118">
        <f>(18.75+102.21)*2</f>
        <v>241.92</v>
      </c>
      <c r="D152" s="116" t="s">
        <v>10</v>
      </c>
      <c r="E152" s="107"/>
      <c r="F152" s="117" t="s">
        <v>296</v>
      </c>
    </row>
    <row r="153" spans="1:7" ht="15" x14ac:dyDescent="0.25">
      <c r="A153"/>
      <c r="B153" s="107"/>
      <c r="C153" s="118">
        <v>0.5</v>
      </c>
      <c r="D153" s="116" t="s">
        <v>10</v>
      </c>
      <c r="E153" s="107"/>
      <c r="F153" s="117" t="s">
        <v>285</v>
      </c>
    </row>
    <row r="154" spans="1:7" ht="15" x14ac:dyDescent="0.25">
      <c r="A154"/>
      <c r="B154" s="107"/>
      <c r="C154" s="118"/>
      <c r="D154" s="116"/>
      <c r="E154" s="107"/>
      <c r="F154" s="117"/>
    </row>
    <row r="155" spans="1:7" ht="15" x14ac:dyDescent="0.25">
      <c r="A155"/>
      <c r="B155" s="107"/>
      <c r="C155" s="118">
        <f>C152*C153</f>
        <v>120.96</v>
      </c>
      <c r="D155" s="116" t="s">
        <v>11</v>
      </c>
      <c r="E155" s="107"/>
      <c r="F155" s="117" t="s">
        <v>126</v>
      </c>
    </row>
  </sheetData>
  <mergeCells count="11">
    <mergeCell ref="G100:G102"/>
    <mergeCell ref="G104:G106"/>
    <mergeCell ref="B100:B107"/>
    <mergeCell ref="G1:G4"/>
    <mergeCell ref="A3:A4"/>
    <mergeCell ref="B3:B4"/>
    <mergeCell ref="C3:C4"/>
    <mergeCell ref="D3:D4"/>
    <mergeCell ref="E3:E4"/>
    <mergeCell ref="F3:F4"/>
    <mergeCell ref="B1:F2"/>
  </mergeCells>
  <pageMargins left="0.75" right="0.75" top="1" bottom="1" header="0.5" footer="0.5"/>
  <pageSetup paperSize="17" scale="6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4"/>
    <col min="5" max="5" width="8.85546875" style="26" bestFit="1" customWidth="1"/>
    <col min="6" max="6" width="9.7109375" style="28" bestFit="1" customWidth="1"/>
    <col min="7" max="7" width="8.5703125" style="28" bestFit="1" customWidth="1"/>
    <col min="8" max="8" width="6.85546875" style="28" bestFit="1" customWidth="1"/>
    <col min="9" max="9" width="84" style="28" bestFit="1" customWidth="1"/>
    <col min="10" max="10" width="9" style="28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12">
        <f>[1]Calcs!$C$3</f>
        <v>553</v>
      </c>
      <c r="C3" s="12">
        <f>[2]Calcs!$C$3</f>
        <v>1779</v>
      </c>
      <c r="D3" s="1">
        <f>[3]Calcs!$C$3</f>
        <v>14230</v>
      </c>
      <c r="E3" s="1">
        <v>507</v>
      </c>
      <c r="F3" s="9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12">
        <f>[1]Calcs!$C$4</f>
        <v>5514</v>
      </c>
      <c r="C4" s="12">
        <f>[2]Calcs!$C$4</f>
        <v>19557</v>
      </c>
      <c r="D4" s="1">
        <f>[3]Calcs!$C$4</f>
        <v>297098</v>
      </c>
      <c r="E4" s="1">
        <v>509</v>
      </c>
      <c r="F4" s="9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12">
        <f>[1]Calcs!$C$5</f>
        <v>80</v>
      </c>
      <c r="C5" s="12">
        <f>[2]Calcs!$C$5</f>
        <v>239</v>
      </c>
      <c r="D5" s="12">
        <f>[3]Calcs!$C$5</f>
        <v>2312</v>
      </c>
      <c r="E5" s="1">
        <v>511</v>
      </c>
      <c r="F5" s="9" t="s">
        <v>49</v>
      </c>
      <c r="G5" s="1">
        <f t="shared" si="0"/>
        <v>2631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12">
        <f>[1]Calcs!$C$6</f>
        <v>103</v>
      </c>
      <c r="C6" s="12">
        <f>[2]Calcs!$C$6</f>
        <v>398</v>
      </c>
      <c r="D6" s="12">
        <f>[3]Calcs!$C$6</f>
        <v>4745</v>
      </c>
      <c r="E6" s="1">
        <v>512</v>
      </c>
      <c r="F6" s="9" t="s">
        <v>18</v>
      </c>
      <c r="G6" s="1">
        <f t="shared" si="0"/>
        <v>5246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12">
        <f>[1]Calcs!$C$7</f>
        <v>103</v>
      </c>
      <c r="C7" s="12">
        <f>[2]Calcs!$C$7</f>
        <v>398</v>
      </c>
      <c r="D7" s="12">
        <f>[3]Calcs!$C$7</f>
        <v>4745</v>
      </c>
      <c r="E7" s="1">
        <v>512</v>
      </c>
      <c r="F7" s="9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12">
        <f>[1]Calcs!$C$8</f>
        <v>21</v>
      </c>
      <c r="C8" s="12">
        <f>[2]Calcs!$C$8</f>
        <v>68</v>
      </c>
      <c r="D8" s="12">
        <f>[3]Calcs!$C$8</f>
        <v>774</v>
      </c>
      <c r="E8" s="1">
        <v>512</v>
      </c>
      <c r="F8" s="9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10"/>
    </row>
    <row r="9" spans="1:16" x14ac:dyDescent="0.2">
      <c r="A9" s="1" t="s">
        <v>44</v>
      </c>
      <c r="B9" s="12">
        <f>[1]Calcs!$C$9</f>
        <v>777</v>
      </c>
      <c r="C9" s="12">
        <f>[2]Calcs!$C$9</f>
        <v>204</v>
      </c>
      <c r="D9" s="12">
        <f>[3]Calcs!$C$9</f>
        <v>8649.67</v>
      </c>
      <c r="E9" s="1">
        <v>516</v>
      </c>
      <c r="F9" s="9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12">
        <f>[1]Calcs!$C$11</f>
        <v>27.666666666666668</v>
      </c>
      <c r="C10" s="12">
        <f>[2]Calcs!$C$11</f>
        <v>84</v>
      </c>
      <c r="D10" s="1">
        <f>[3]Calcs!$C$11</f>
        <v>994.44444444444446</v>
      </c>
      <c r="E10" s="1">
        <v>518</v>
      </c>
      <c r="F10" s="9" t="s">
        <v>26</v>
      </c>
      <c r="G10" s="1">
        <f t="shared" si="0"/>
        <v>1106.1111111111111</v>
      </c>
      <c r="H10" s="1" t="s">
        <v>10</v>
      </c>
      <c r="I10" s="46" t="s">
        <v>59</v>
      </c>
      <c r="J10" s="1"/>
      <c r="L10" s="2" t="s">
        <v>60</v>
      </c>
    </row>
    <row r="11" spans="1:16" x14ac:dyDescent="0.2">
      <c r="A11" s="1" t="s">
        <v>44</v>
      </c>
      <c r="B11" s="12">
        <f>[1]Calcs!$C$12</f>
        <v>48</v>
      </c>
      <c r="C11" s="12"/>
      <c r="E11" s="1">
        <v>524</v>
      </c>
      <c r="F11" s="9" t="s">
        <v>47</v>
      </c>
      <c r="G11" s="1">
        <f t="shared" si="0"/>
        <v>48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12"/>
      <c r="C12" s="12">
        <f>[2]Calcs!$C$12</f>
        <v>108</v>
      </c>
      <c r="D12" s="1">
        <f>[3]Calcs!$C$12</f>
        <v>668</v>
      </c>
      <c r="E12" s="1">
        <v>524</v>
      </c>
      <c r="F12" s="12">
        <v>94603</v>
      </c>
      <c r="G12" s="1">
        <f>SUM(A12:D12)</f>
        <v>776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12">
        <f>[1]Calcs!$C$13</f>
        <v>596</v>
      </c>
      <c r="C13" s="12">
        <f>[2]Calcs!$C$13</f>
        <v>2234</v>
      </c>
      <c r="D13" s="1">
        <f>[3]Calcs!$C$13</f>
        <v>13588.71</v>
      </c>
      <c r="E13" s="1">
        <v>601</v>
      </c>
      <c r="F13" s="12">
        <v>37501</v>
      </c>
      <c r="G13" s="1">
        <f t="shared" si="0"/>
        <v>16418.71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7" t="s">
        <v>44</v>
      </c>
      <c r="B14" s="45">
        <f>[1]Calcs!$C$14</f>
        <v>286.08999999999997</v>
      </c>
      <c r="C14" s="45">
        <f>[2]Calcs!$C$14</f>
        <v>505.07</v>
      </c>
      <c r="D14" s="47">
        <f>[3]Calcs!$C$14</f>
        <v>2</v>
      </c>
      <c r="E14" s="47">
        <v>611</v>
      </c>
      <c r="F14" s="48">
        <v>1100</v>
      </c>
      <c r="G14" s="47">
        <f>D14</f>
        <v>2</v>
      </c>
      <c r="H14" s="47" t="s">
        <v>10</v>
      </c>
      <c r="I14" s="46" t="s">
        <v>27</v>
      </c>
      <c r="J14" s="47"/>
      <c r="K14" s="49"/>
      <c r="L14" s="46" t="s">
        <v>34</v>
      </c>
    </row>
    <row r="15" spans="1:16" x14ac:dyDescent="0.2">
      <c r="A15" s="1" t="s">
        <v>44</v>
      </c>
      <c r="B15" s="1"/>
      <c r="C15" s="1"/>
      <c r="D15" s="1">
        <f>[3]Calcs!$C$16</f>
        <v>644</v>
      </c>
      <c r="E15" s="1" t="s">
        <v>7</v>
      </c>
      <c r="F15" s="11" t="s">
        <v>45</v>
      </c>
      <c r="G15" s="1">
        <f>SUM(A15:D15)</f>
        <v>644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 t="str">
        <f>[3]Calcs!$C$17</f>
        <v>LUMP</v>
      </c>
      <c r="E16" s="1" t="s">
        <v>7</v>
      </c>
      <c r="F16" s="11" t="s">
        <v>45</v>
      </c>
      <c r="G16" s="1">
        <f t="shared" si="0"/>
        <v>0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0</v>
      </c>
      <c r="E17" s="1" t="s">
        <v>7</v>
      </c>
      <c r="F17" s="11" t="s">
        <v>45</v>
      </c>
      <c r="G17" s="1">
        <f t="shared" si="0"/>
        <v>0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49169</v>
      </c>
      <c r="E18" s="1" t="s">
        <v>7</v>
      </c>
      <c r="F18" s="11" t="s">
        <v>45</v>
      </c>
      <c r="G18" s="1">
        <f t="shared" si="0"/>
        <v>49169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12">
        <f>[3]Calcs!$C$20</f>
        <v>11</v>
      </c>
      <c r="E19" s="1" t="s">
        <v>7</v>
      </c>
      <c r="F19" s="11" t="s">
        <v>45</v>
      </c>
      <c r="G19" s="1">
        <f t="shared" si="0"/>
        <v>11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12">
        <f>[1]Calcs!$C$15</f>
        <v>204</v>
      </c>
      <c r="C20" s="12">
        <f>[2]Calcs!$C$15</f>
        <v>453</v>
      </c>
      <c r="D20" s="12">
        <f>[3]Calcs!$C$21</f>
        <v>266</v>
      </c>
      <c r="E20" s="1" t="s">
        <v>7</v>
      </c>
      <c r="F20" s="3" t="s">
        <v>46</v>
      </c>
      <c r="G20" s="1">
        <f t="shared" si="0"/>
        <v>923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12">
        <f>[1]Calcs!$C$16</f>
        <v>0</v>
      </c>
      <c r="C21" s="12">
        <f>[2]Calcs!$C$16</f>
        <v>0</v>
      </c>
      <c r="D21" s="12">
        <f>[3]Calcs!$C$22</f>
        <v>243</v>
      </c>
      <c r="E21" s="1" t="s">
        <v>7</v>
      </c>
      <c r="F21" s="3" t="s">
        <v>46</v>
      </c>
      <c r="G21" s="1">
        <f t="shared" si="0"/>
        <v>243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3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6" t="s">
        <v>56</v>
      </c>
      <c r="E24" s="24"/>
      <c r="F24" s="25"/>
      <c r="G24" s="24"/>
      <c r="H24" s="24"/>
      <c r="I24" s="26"/>
      <c r="J24" s="24"/>
      <c r="L24" s="2"/>
    </row>
    <row r="25" spans="1:12" x14ac:dyDescent="0.2">
      <c r="E25" s="24"/>
      <c r="F25" s="25"/>
      <c r="G25" s="24"/>
      <c r="H25" s="24"/>
      <c r="I25" s="26"/>
      <c r="J25" s="24"/>
      <c r="L25" s="2"/>
    </row>
    <row r="27" spans="1:12" x14ac:dyDescent="0.2">
      <c r="E27" s="27"/>
      <c r="F27" s="24"/>
      <c r="G27" s="24"/>
      <c r="H27" s="24"/>
      <c r="I27" s="24"/>
    </row>
    <row r="28" spans="1:12" x14ac:dyDescent="0.2">
      <c r="E28" s="29"/>
      <c r="F28" s="26"/>
      <c r="G28" s="26"/>
      <c r="H28" s="30"/>
      <c r="I28" s="24"/>
    </row>
    <row r="29" spans="1:12" x14ac:dyDescent="0.2">
      <c r="E29" s="29"/>
      <c r="F29" s="26"/>
      <c r="G29" s="26"/>
      <c r="H29" s="31"/>
    </row>
    <row r="30" spans="1:12" x14ac:dyDescent="0.2">
      <c r="E30" s="29"/>
      <c r="F30" s="26"/>
      <c r="G30" s="26"/>
    </row>
    <row r="31" spans="1:12" x14ac:dyDescent="0.2">
      <c r="E31" s="32"/>
      <c r="F31" s="26"/>
    </row>
    <row r="33" spans="5:9" x14ac:dyDescent="0.2">
      <c r="E33" s="27"/>
    </row>
    <row r="35" spans="5:9" x14ac:dyDescent="0.2">
      <c r="E35" s="33"/>
      <c r="F35" s="31"/>
      <c r="G35" s="31"/>
    </row>
    <row r="36" spans="5:9" x14ac:dyDescent="0.2">
      <c r="E36" s="33"/>
      <c r="F36" s="31"/>
      <c r="G36" s="31"/>
    </row>
    <row r="37" spans="5:9" x14ac:dyDescent="0.2">
      <c r="E37" s="33"/>
      <c r="F37" s="31"/>
      <c r="G37" s="31"/>
    </row>
    <row r="38" spans="5:9" x14ac:dyDescent="0.2">
      <c r="E38" s="30"/>
      <c r="F38" s="31"/>
      <c r="G38" s="32"/>
      <c r="H38" s="31"/>
    </row>
    <row r="39" spans="5:9" x14ac:dyDescent="0.2">
      <c r="E39" s="30"/>
      <c r="F39" s="31"/>
      <c r="G39" s="32"/>
      <c r="H39" s="31"/>
    </row>
    <row r="41" spans="5:9" x14ac:dyDescent="0.2">
      <c r="E41" s="27"/>
    </row>
    <row r="43" spans="5:9" x14ac:dyDescent="0.2">
      <c r="E43" s="34"/>
      <c r="F43" s="31"/>
      <c r="G43" s="31"/>
    </row>
    <row r="44" spans="5:9" x14ac:dyDescent="0.2">
      <c r="E44" s="32"/>
      <c r="F44" s="31"/>
    </row>
    <row r="45" spans="5:9" x14ac:dyDescent="0.2">
      <c r="E45" s="27"/>
    </row>
    <row r="46" spans="5:9" x14ac:dyDescent="0.2">
      <c r="E46" s="30"/>
    </row>
    <row r="47" spans="5:9" x14ac:dyDescent="0.2">
      <c r="E47" s="30"/>
      <c r="G47" s="31"/>
      <c r="I47" s="31"/>
    </row>
    <row r="48" spans="5:9" x14ac:dyDescent="0.2">
      <c r="E48" s="30"/>
      <c r="G48" s="31"/>
      <c r="I48" s="31"/>
    </row>
    <row r="49" spans="5:9" x14ac:dyDescent="0.2">
      <c r="E49" s="13"/>
      <c r="F49" s="20"/>
      <c r="G49" s="20"/>
      <c r="H49" s="20"/>
      <c r="I49" s="20"/>
    </row>
    <row r="50" spans="5:9" x14ac:dyDescent="0.2">
      <c r="E50" s="13"/>
      <c r="F50" s="14"/>
      <c r="G50" s="15"/>
      <c r="H50" s="14"/>
      <c r="I50" s="16"/>
    </row>
    <row r="51" spans="5:9" x14ac:dyDescent="0.2">
      <c r="E51" s="16"/>
      <c r="F51" s="17"/>
      <c r="G51" s="15"/>
      <c r="H51" s="14"/>
      <c r="I51" s="16"/>
    </row>
    <row r="52" spans="5:9" x14ac:dyDescent="0.2">
      <c r="E52" s="13"/>
      <c r="F52" s="18"/>
      <c r="G52" s="15"/>
      <c r="H52" s="14"/>
      <c r="I52" s="19"/>
    </row>
    <row r="53" spans="5:9" x14ac:dyDescent="0.2">
      <c r="E53" s="13"/>
      <c r="F53" s="18"/>
      <c r="G53" s="15"/>
      <c r="H53" s="14"/>
      <c r="I53" s="19"/>
    </row>
    <row r="54" spans="5:9" x14ac:dyDescent="0.2">
      <c r="E54" s="19"/>
      <c r="F54" s="20"/>
      <c r="G54" s="22"/>
      <c r="H54" s="21"/>
      <c r="I54" s="16"/>
    </row>
    <row r="55" spans="5:9" x14ac:dyDescent="0.2">
      <c r="E55" s="19"/>
      <c r="F55" s="20"/>
      <c r="G55" s="15"/>
      <c r="H55" s="21"/>
      <c r="I55" s="16"/>
    </row>
    <row r="56" spans="5:9" x14ac:dyDescent="0.2">
      <c r="E56" s="13"/>
      <c r="F56" s="13"/>
      <c r="G56" s="13"/>
      <c r="H56" s="13"/>
      <c r="I56" s="13"/>
    </row>
    <row r="57" spans="5:9" x14ac:dyDescent="0.2">
      <c r="E57" s="13"/>
      <c r="F57" s="14"/>
      <c r="G57" s="15"/>
      <c r="H57" s="14"/>
      <c r="I57" s="16"/>
    </row>
    <row r="58" spans="5:9" x14ac:dyDescent="0.2">
      <c r="E58" s="16"/>
      <c r="F58" s="17"/>
      <c r="G58" s="15"/>
      <c r="H58" s="14"/>
      <c r="I58" s="16"/>
    </row>
    <row r="59" spans="5:9" x14ac:dyDescent="0.2">
      <c r="E59" s="13"/>
      <c r="F59" s="18"/>
      <c r="G59" s="15"/>
      <c r="H59" s="14"/>
      <c r="I59" s="19"/>
    </row>
    <row r="60" spans="5:9" x14ac:dyDescent="0.2">
      <c r="E60" s="19"/>
      <c r="F60" s="20"/>
      <c r="G60" s="22"/>
      <c r="H60" s="21"/>
      <c r="I60" s="16"/>
    </row>
    <row r="61" spans="5:9" x14ac:dyDescent="0.2">
      <c r="E61" s="19"/>
      <c r="F61" s="18"/>
      <c r="G61" s="15"/>
      <c r="H61" s="21"/>
      <c r="I61" s="16"/>
    </row>
    <row r="62" spans="5:9" x14ac:dyDescent="0.2">
      <c r="E62" s="13"/>
      <c r="F62" s="13"/>
      <c r="G62" s="13"/>
      <c r="H62" s="13"/>
      <c r="I62" s="13"/>
    </row>
    <row r="63" spans="5:9" x14ac:dyDescent="0.2">
      <c r="E63" s="13"/>
      <c r="F63" s="14"/>
      <c r="G63" s="15"/>
      <c r="H63" s="14"/>
      <c r="I63" s="16"/>
    </row>
    <row r="64" spans="5:9" x14ac:dyDescent="0.2">
      <c r="E64" s="16"/>
      <c r="F64" s="17"/>
      <c r="G64" s="15"/>
      <c r="H64" s="14"/>
      <c r="I64" s="16"/>
    </row>
    <row r="65" spans="5:9" x14ac:dyDescent="0.2">
      <c r="E65" s="13"/>
      <c r="F65" s="18"/>
      <c r="G65" s="15"/>
      <c r="H65" s="14"/>
      <c r="I65" s="19"/>
    </row>
    <row r="66" spans="5:9" x14ac:dyDescent="0.2">
      <c r="E66" s="13"/>
      <c r="F66" s="18"/>
      <c r="G66" s="15"/>
      <c r="H66" s="14"/>
      <c r="I66" s="19"/>
    </row>
    <row r="67" spans="5:9" x14ac:dyDescent="0.2">
      <c r="E67" s="19"/>
      <c r="F67" s="20"/>
      <c r="G67" s="22"/>
      <c r="H67" s="21"/>
      <c r="I67" s="16"/>
    </row>
    <row r="68" spans="5:9" x14ac:dyDescent="0.2">
      <c r="E68" s="30"/>
      <c r="G68" s="35"/>
      <c r="H68" s="21"/>
      <c r="I68" s="31"/>
    </row>
    <row r="69" spans="5:9" x14ac:dyDescent="0.2">
      <c r="E69" s="34"/>
      <c r="F69" s="31"/>
      <c r="G69" s="31"/>
    </row>
    <row r="70" spans="5:9" x14ac:dyDescent="0.2">
      <c r="E70" s="13"/>
      <c r="F70" s="13"/>
      <c r="G70" s="13"/>
      <c r="H70" s="13"/>
      <c r="I70" s="13"/>
    </row>
    <row r="71" spans="5:9" x14ac:dyDescent="0.2">
      <c r="E71" s="13"/>
      <c r="F71" s="14"/>
      <c r="G71" s="15"/>
      <c r="H71" s="14"/>
      <c r="I71" s="16"/>
    </row>
    <row r="72" spans="5:9" x14ac:dyDescent="0.2">
      <c r="E72" s="16"/>
      <c r="F72" s="17"/>
      <c r="G72" s="15"/>
      <c r="H72" s="14"/>
      <c r="I72" s="16"/>
    </row>
    <row r="73" spans="5:9" x14ac:dyDescent="0.2">
      <c r="E73" s="13"/>
      <c r="F73" s="18"/>
      <c r="G73" s="15"/>
      <c r="H73" s="14"/>
      <c r="I73" s="19"/>
    </row>
    <row r="74" spans="5:9" x14ac:dyDescent="0.2">
      <c r="E74" s="13"/>
      <c r="F74" s="18"/>
      <c r="G74" s="15"/>
      <c r="H74" s="14"/>
      <c r="I74" s="19"/>
    </row>
    <row r="75" spans="5:9" x14ac:dyDescent="0.2">
      <c r="E75" s="19"/>
      <c r="F75" s="20"/>
      <c r="G75" s="22"/>
      <c r="H75" s="21"/>
      <c r="I75" s="16"/>
    </row>
    <row r="76" spans="5:9" x14ac:dyDescent="0.2">
      <c r="E76" s="30"/>
      <c r="G76" s="35"/>
      <c r="H76" s="21"/>
      <c r="I76" s="3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zoomScale="110" zoomScaleNormal="11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6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63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764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C50</f>
        <v>191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/>
      <c r="E10" s="51" t="s">
        <v>6</v>
      </c>
      <c r="F10" s="51" t="s">
        <v>198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C56</f>
        <v>0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f>C69</f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f>C74</f>
        <v>705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C87</f>
        <v>705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C100</f>
        <v>4878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C104</f>
        <v>409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C118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C123</f>
        <v>2035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C140</f>
        <v>463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C147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C151</f>
        <v>438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C155</f>
        <v>4878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ROUNDUP(C47/27,)</f>
        <v>764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2504.8200000000002</v>
      </c>
      <c r="D41" s="47" t="s">
        <v>11</v>
      </c>
      <c r="F41" s="46" t="s">
        <v>217</v>
      </c>
    </row>
    <row r="42" spans="1:7" ht="15" x14ac:dyDescent="0.25">
      <c r="C42" s="64">
        <v>2650.62</v>
      </c>
      <c r="D42" s="47" t="s">
        <v>11</v>
      </c>
      <c r="F42" s="46" t="s">
        <v>216</v>
      </c>
    </row>
    <row r="43" spans="1:7" x14ac:dyDescent="0.2">
      <c r="C43"/>
      <c r="D43" s="47"/>
      <c r="F43" s="46"/>
    </row>
    <row r="44" spans="1:7" ht="15" x14ac:dyDescent="0.25">
      <c r="C44" s="64">
        <f>C41+C42</f>
        <v>5155.4400000000005</v>
      </c>
      <c r="D44" s="47" t="s">
        <v>11</v>
      </c>
      <c r="F44" s="46" t="s">
        <v>251</v>
      </c>
    </row>
    <row r="45" spans="1:7" ht="15" x14ac:dyDescent="0.25">
      <c r="A45" s="24"/>
      <c r="B45" s="24"/>
      <c r="C45" s="64">
        <v>4</v>
      </c>
      <c r="D45" s="47" t="s">
        <v>10</v>
      </c>
      <c r="F45" s="46" t="s">
        <v>97</v>
      </c>
    </row>
    <row r="46" spans="1:7" x14ac:dyDescent="0.2">
      <c r="A46" s="24"/>
      <c r="B46" s="24"/>
      <c r="C46"/>
      <c r="D46" s="47"/>
      <c r="F46" s="46"/>
    </row>
    <row r="47" spans="1:7" x14ac:dyDescent="0.2">
      <c r="A47" s="24"/>
      <c r="B47" s="24"/>
      <c r="C47" s="1">
        <f>C45*C44</f>
        <v>20621.760000000002</v>
      </c>
      <c r="D47" s="47" t="s">
        <v>98</v>
      </c>
      <c r="F47" s="46" t="s">
        <v>99</v>
      </c>
    </row>
    <row r="48" spans="1:7" x14ac:dyDescent="0.2">
      <c r="A48" s="24"/>
      <c r="B48" s="24"/>
      <c r="C48" s="24"/>
      <c r="D48" s="24"/>
      <c r="E48" s="24"/>
      <c r="F48" s="26"/>
    </row>
    <row r="49" spans="1:6" x14ac:dyDescent="0.2">
      <c r="A49" s="24"/>
      <c r="B49" s="24"/>
      <c r="C49" s="24"/>
      <c r="D49" s="24"/>
      <c r="E49" s="24"/>
      <c r="F49" s="26"/>
    </row>
    <row r="50" spans="1:6" x14ac:dyDescent="0.2">
      <c r="A50" s="61">
        <v>203</v>
      </c>
      <c r="B50" s="61">
        <v>35120</v>
      </c>
      <c r="C50" s="61">
        <f>ROUNDUP(C54/27,)</f>
        <v>191</v>
      </c>
      <c r="D50" s="62" t="s">
        <v>6</v>
      </c>
      <c r="E50" s="61"/>
      <c r="F50" s="67" t="s">
        <v>95</v>
      </c>
    </row>
    <row r="51" spans="1:6" x14ac:dyDescent="0.2">
      <c r="F51" s="2"/>
    </row>
    <row r="52" spans="1:6" ht="15" x14ac:dyDescent="0.25">
      <c r="C52" s="64">
        <f>C44</f>
        <v>5155.4400000000005</v>
      </c>
      <c r="D52" s="47" t="s">
        <v>11</v>
      </c>
      <c r="F52" s="46" t="s">
        <v>252</v>
      </c>
    </row>
    <row r="53" spans="1:6" ht="15" x14ac:dyDescent="0.25">
      <c r="C53" s="64">
        <v>1</v>
      </c>
      <c r="D53" s="47" t="s">
        <v>10</v>
      </c>
      <c r="F53" s="46" t="s">
        <v>97</v>
      </c>
    </row>
    <row r="54" spans="1:6" x14ac:dyDescent="0.2">
      <c r="C54" s="1">
        <f>C53*C52</f>
        <v>5155.4400000000005</v>
      </c>
      <c r="D54" s="47" t="s">
        <v>98</v>
      </c>
      <c r="F54" s="46" t="s">
        <v>99</v>
      </c>
    </row>
    <row r="55" spans="1:6" x14ac:dyDescent="0.2">
      <c r="D55" s="47"/>
      <c r="F55" s="46"/>
    </row>
    <row r="56" spans="1:6" x14ac:dyDescent="0.2">
      <c r="A56" s="74" t="s">
        <v>7</v>
      </c>
      <c r="B56" s="70">
        <v>20365000</v>
      </c>
      <c r="C56" s="70">
        <f>C58</f>
        <v>0</v>
      </c>
      <c r="D56" s="66" t="s">
        <v>37</v>
      </c>
      <c r="E56" s="71"/>
      <c r="F56" s="58" t="s">
        <v>71</v>
      </c>
    </row>
    <row r="57" spans="1:6" x14ac:dyDescent="0.2">
      <c r="D57" s="47"/>
      <c r="F57" s="46"/>
    </row>
    <row r="58" spans="1:6" ht="15" x14ac:dyDescent="0.25">
      <c r="C58" s="64">
        <v>0</v>
      </c>
      <c r="D58" s="47" t="s">
        <v>37</v>
      </c>
      <c r="F58" s="46" t="s">
        <v>192</v>
      </c>
    </row>
    <row r="59" spans="1:6" x14ac:dyDescent="0.2">
      <c r="D59" s="47"/>
      <c r="F59" s="46"/>
    </row>
    <row r="60" spans="1:6" x14ac:dyDescent="0.2">
      <c r="D60" s="47"/>
      <c r="F60" s="46"/>
    </row>
    <row r="61" spans="1:6" x14ac:dyDescent="0.2">
      <c r="F61" s="2"/>
    </row>
    <row r="62" spans="1:6" x14ac:dyDescent="0.2">
      <c r="A62" s="61">
        <v>511</v>
      </c>
      <c r="B62" s="61">
        <v>71200</v>
      </c>
      <c r="C62" s="61">
        <f>ROUNDUP(C67,)</f>
        <v>4878</v>
      </c>
      <c r="D62" s="62" t="s">
        <v>11</v>
      </c>
      <c r="E62" s="61"/>
      <c r="F62" s="67" t="s">
        <v>92</v>
      </c>
    </row>
    <row r="63" spans="1:6" x14ac:dyDescent="0.2">
      <c r="F63" s="2"/>
    </row>
    <row r="64" spans="1:6" ht="15" x14ac:dyDescent="0.25">
      <c r="C64" s="64">
        <v>2548</v>
      </c>
      <c r="D64" s="65" t="s">
        <v>11</v>
      </c>
      <c r="F64" s="46" t="s">
        <v>215</v>
      </c>
    </row>
    <row r="65" spans="1:6" ht="15" x14ac:dyDescent="0.25">
      <c r="C65" s="64">
        <v>2330</v>
      </c>
      <c r="D65" s="65" t="s">
        <v>11</v>
      </c>
      <c r="F65" s="46" t="s">
        <v>218</v>
      </c>
    </row>
    <row r="66" spans="1:6" x14ac:dyDescent="0.2">
      <c r="D66" s="65"/>
      <c r="F66" s="46"/>
    </row>
    <row r="67" spans="1:6" x14ac:dyDescent="0.2">
      <c r="C67" s="1">
        <f>C65+C64</f>
        <v>4878</v>
      </c>
      <c r="D67" s="65" t="s">
        <v>11</v>
      </c>
      <c r="F67" s="46" t="s">
        <v>176</v>
      </c>
    </row>
    <row r="68" spans="1:6" x14ac:dyDescent="0.2">
      <c r="F68" s="2"/>
    </row>
    <row r="69" spans="1:6" x14ac:dyDescent="0.2">
      <c r="A69" s="61">
        <v>511</v>
      </c>
      <c r="B69" s="61">
        <v>81100</v>
      </c>
      <c r="C69" s="61">
        <f>ROUNDUP(C71,)</f>
        <v>0</v>
      </c>
      <c r="D69" s="61" t="s">
        <v>10</v>
      </c>
      <c r="E69" s="61"/>
      <c r="F69" s="58" t="s">
        <v>93</v>
      </c>
    </row>
    <row r="70" spans="1:6" x14ac:dyDescent="0.2">
      <c r="F70" s="2"/>
    </row>
    <row r="71" spans="1:6" x14ac:dyDescent="0.2">
      <c r="C71" s="1">
        <v>0</v>
      </c>
      <c r="D71" s="1" t="s">
        <v>10</v>
      </c>
      <c r="F71" s="2" t="s">
        <v>219</v>
      </c>
    </row>
    <row r="72" spans="1:6" x14ac:dyDescent="0.2">
      <c r="F72" s="2"/>
    </row>
    <row r="73" spans="1:6" x14ac:dyDescent="0.2">
      <c r="F73" s="2"/>
    </row>
    <row r="74" spans="1:6" x14ac:dyDescent="0.2">
      <c r="A74" s="61">
        <v>512</v>
      </c>
      <c r="B74" s="61">
        <v>10001</v>
      </c>
      <c r="C74" s="61">
        <f>ROUNDUP(C85/9,)</f>
        <v>705</v>
      </c>
      <c r="D74" s="61" t="s">
        <v>9</v>
      </c>
      <c r="E74" s="61"/>
      <c r="F74" s="58" t="s">
        <v>87</v>
      </c>
    </row>
    <row r="75" spans="1:6" x14ac:dyDescent="0.2">
      <c r="F75" s="2"/>
    </row>
    <row r="76" spans="1:6" x14ac:dyDescent="0.2">
      <c r="C76" s="1">
        <v>4878</v>
      </c>
      <c r="D76" s="1" t="s">
        <v>11</v>
      </c>
      <c r="F76" s="2" t="s">
        <v>128</v>
      </c>
    </row>
    <row r="77" spans="1:6" x14ac:dyDescent="0.2">
      <c r="F77" s="2"/>
    </row>
    <row r="78" spans="1:6" ht="15" x14ac:dyDescent="0.25">
      <c r="C78" s="64">
        <v>2</v>
      </c>
      <c r="D78" s="1" t="s">
        <v>10</v>
      </c>
      <c r="F78" s="2" t="s">
        <v>129</v>
      </c>
    </row>
    <row r="79" spans="1:6" ht="15" x14ac:dyDescent="0.25">
      <c r="C79" s="64">
        <v>0.83</v>
      </c>
      <c r="D79" s="1" t="s">
        <v>10</v>
      </c>
      <c r="F79" s="2" t="s">
        <v>130</v>
      </c>
    </row>
    <row r="80" spans="1:6" ht="15" x14ac:dyDescent="0.25">
      <c r="C80" s="64">
        <v>0.5</v>
      </c>
      <c r="D80" s="1" t="s">
        <v>10</v>
      </c>
      <c r="F80" s="2" t="s">
        <v>131</v>
      </c>
    </row>
    <row r="81" spans="1:6" ht="15" x14ac:dyDescent="0.25">
      <c r="C81" s="64">
        <v>438</v>
      </c>
      <c r="D81" s="1" t="s">
        <v>10</v>
      </c>
      <c r="F81" s="2" t="s">
        <v>164</v>
      </c>
    </row>
    <row r="82" spans="1:6" x14ac:dyDescent="0.2">
      <c r="F82" s="2"/>
    </row>
    <row r="83" spans="1:6" x14ac:dyDescent="0.2">
      <c r="C83" s="1">
        <f>(C78+C79+C80)*C81</f>
        <v>1458.54</v>
      </c>
      <c r="D83" s="1" t="s">
        <v>11</v>
      </c>
      <c r="F83" s="2" t="s">
        <v>133</v>
      </c>
    </row>
    <row r="84" spans="1:6" x14ac:dyDescent="0.2">
      <c r="F84" s="2"/>
    </row>
    <row r="85" spans="1:6" x14ac:dyDescent="0.2">
      <c r="C85" s="1">
        <f>C76+C83</f>
        <v>6336.54</v>
      </c>
      <c r="D85" s="1" t="s">
        <v>11</v>
      </c>
      <c r="F85" s="2" t="s">
        <v>134</v>
      </c>
    </row>
    <row r="86" spans="1:6" x14ac:dyDescent="0.2">
      <c r="F86" s="2"/>
    </row>
    <row r="87" spans="1:6" x14ac:dyDescent="0.2">
      <c r="A87" s="61">
        <v>512</v>
      </c>
      <c r="B87" s="61">
        <v>10100</v>
      </c>
      <c r="C87" s="61">
        <f>ROUNDUP(C98/9,)</f>
        <v>705</v>
      </c>
      <c r="D87" s="61" t="s">
        <v>9</v>
      </c>
      <c r="E87" s="61"/>
      <c r="F87" s="58" t="s">
        <v>88</v>
      </c>
    </row>
    <row r="88" spans="1:6" x14ac:dyDescent="0.2">
      <c r="F88" s="2"/>
    </row>
    <row r="89" spans="1:6" x14ac:dyDescent="0.2">
      <c r="C89" s="1">
        <v>4878</v>
      </c>
      <c r="D89" s="1" t="s">
        <v>11</v>
      </c>
      <c r="F89" s="2" t="s">
        <v>128</v>
      </c>
    </row>
    <row r="90" spans="1:6" x14ac:dyDescent="0.2">
      <c r="F90" s="2"/>
    </row>
    <row r="91" spans="1:6" ht="15" x14ac:dyDescent="0.25">
      <c r="C91" s="64">
        <v>2</v>
      </c>
      <c r="D91" s="1" t="s">
        <v>10</v>
      </c>
      <c r="F91" s="2" t="s">
        <v>129</v>
      </c>
    </row>
    <row r="92" spans="1:6" ht="15" x14ac:dyDescent="0.25">
      <c r="C92" s="64">
        <v>0.83</v>
      </c>
      <c r="D92" s="1" t="s">
        <v>10</v>
      </c>
      <c r="F92" s="2" t="s">
        <v>130</v>
      </c>
    </row>
    <row r="93" spans="1:6" ht="15" x14ac:dyDescent="0.25">
      <c r="C93" s="64">
        <v>0.5</v>
      </c>
      <c r="D93" s="1" t="s">
        <v>10</v>
      </c>
      <c r="F93" s="2" t="s">
        <v>131</v>
      </c>
    </row>
    <row r="94" spans="1:6" ht="15" x14ac:dyDescent="0.25">
      <c r="C94" s="64">
        <v>438</v>
      </c>
      <c r="D94" s="1" t="s">
        <v>10</v>
      </c>
      <c r="F94" s="2" t="s">
        <v>132</v>
      </c>
    </row>
    <row r="95" spans="1:6" x14ac:dyDescent="0.2">
      <c r="F95" s="2"/>
    </row>
    <row r="96" spans="1:6" x14ac:dyDescent="0.2">
      <c r="C96" s="1">
        <f>(C91+C92+C93)*C94</f>
        <v>1458.54</v>
      </c>
      <c r="D96" s="1" t="s">
        <v>11</v>
      </c>
      <c r="F96" s="2" t="s">
        <v>133</v>
      </c>
    </row>
    <row r="97" spans="1:6" x14ac:dyDescent="0.2">
      <c r="F97" s="2"/>
    </row>
    <row r="98" spans="1:6" x14ac:dyDescent="0.2">
      <c r="C98" s="1">
        <f>C89+C96</f>
        <v>6336.54</v>
      </c>
      <c r="D98" s="1" t="s">
        <v>11</v>
      </c>
      <c r="F98" s="2" t="s">
        <v>134</v>
      </c>
    </row>
    <row r="99" spans="1:6" x14ac:dyDescent="0.2">
      <c r="F99" s="2"/>
    </row>
    <row r="100" spans="1:6" x14ac:dyDescent="0.2">
      <c r="A100" s="61">
        <v>840</v>
      </c>
      <c r="B100" s="61">
        <v>20001</v>
      </c>
      <c r="C100" s="61">
        <f>ROUNDUP(C102,)</f>
        <v>4878</v>
      </c>
      <c r="D100" s="61" t="s">
        <v>11</v>
      </c>
      <c r="E100" s="61"/>
      <c r="F100" s="58" t="s">
        <v>73</v>
      </c>
    </row>
    <row r="101" spans="1:6" x14ac:dyDescent="0.2">
      <c r="F101" s="2"/>
    </row>
    <row r="102" spans="1:6" x14ac:dyDescent="0.2">
      <c r="C102" s="1">
        <v>4878</v>
      </c>
      <c r="D102" s="65" t="s">
        <v>11</v>
      </c>
      <c r="F102" s="46" t="s">
        <v>178</v>
      </c>
    </row>
    <row r="103" spans="1:6" x14ac:dyDescent="0.2">
      <c r="D103" s="47"/>
      <c r="F103" s="46"/>
    </row>
    <row r="104" spans="1:6" x14ac:dyDescent="0.2">
      <c r="A104" s="61">
        <v>840</v>
      </c>
      <c r="B104" s="61">
        <v>21000</v>
      </c>
      <c r="C104" s="61">
        <f>ROUNDUP(C116/27,)</f>
        <v>409</v>
      </c>
      <c r="D104" s="61" t="s">
        <v>6</v>
      </c>
      <c r="E104" s="61"/>
      <c r="F104" s="69" t="s">
        <v>74</v>
      </c>
    </row>
    <row r="105" spans="1:6" x14ac:dyDescent="0.2">
      <c r="F105" s="2"/>
    </row>
    <row r="106" spans="1:6" ht="15" x14ac:dyDescent="0.25">
      <c r="C106" s="72">
        <v>1184</v>
      </c>
      <c r="D106" s="1" t="s">
        <v>11</v>
      </c>
      <c r="F106" s="2" t="s">
        <v>179</v>
      </c>
    </row>
    <row r="107" spans="1:6" ht="15" x14ac:dyDescent="0.25">
      <c r="C107" s="72">
        <v>221.33</v>
      </c>
      <c r="D107" s="47" t="s">
        <v>10</v>
      </c>
      <c r="F107" s="46" t="s">
        <v>203</v>
      </c>
    </row>
    <row r="108" spans="1:6" ht="15" x14ac:dyDescent="0.25">
      <c r="C108" s="72">
        <f>C106/C107</f>
        <v>5.3494781547914876</v>
      </c>
      <c r="D108" s="1" t="s">
        <v>10</v>
      </c>
      <c r="F108" s="46" t="s">
        <v>183</v>
      </c>
    </row>
    <row r="109" spans="1:6" x14ac:dyDescent="0.2">
      <c r="C109" s="9">
        <f>C108*C106</f>
        <v>6333.7821352731216</v>
      </c>
      <c r="D109" s="1" t="s">
        <v>98</v>
      </c>
      <c r="F109" s="46" t="s">
        <v>181</v>
      </c>
    </row>
    <row r="110" spans="1:6" x14ac:dyDescent="0.2">
      <c r="F110" s="2"/>
    </row>
    <row r="111" spans="1:6" ht="15" x14ac:dyDescent="0.25">
      <c r="C111" s="72">
        <v>1008</v>
      </c>
      <c r="D111" s="1" t="s">
        <v>11</v>
      </c>
      <c r="F111" s="2" t="s">
        <v>180</v>
      </c>
    </row>
    <row r="112" spans="1:6" ht="15" x14ac:dyDescent="0.25">
      <c r="C112" s="72">
        <v>215.97</v>
      </c>
      <c r="D112" s="47" t="s">
        <v>10</v>
      </c>
      <c r="F112" s="46" t="s">
        <v>253</v>
      </c>
    </row>
    <row r="113" spans="1:6" ht="15" x14ac:dyDescent="0.25">
      <c r="C113" s="72">
        <f>C111/C112</f>
        <v>4.6673149048478955</v>
      </c>
      <c r="D113" s="47" t="s">
        <v>10</v>
      </c>
      <c r="F113" s="46" t="s">
        <v>184</v>
      </c>
    </row>
    <row r="114" spans="1:6" x14ac:dyDescent="0.2">
      <c r="C114" s="9">
        <f>C113*C111</f>
        <v>4704.6534240866786</v>
      </c>
      <c r="D114" s="1" t="s">
        <v>98</v>
      </c>
      <c r="F114" s="46" t="s">
        <v>185</v>
      </c>
    </row>
    <row r="115" spans="1:6" x14ac:dyDescent="0.2">
      <c r="C115" s="9"/>
      <c r="F115" s="2"/>
    </row>
    <row r="116" spans="1:6" x14ac:dyDescent="0.2">
      <c r="C116" s="9">
        <f>C109+C114</f>
        <v>11038.435559359801</v>
      </c>
      <c r="D116" s="1" t="s">
        <v>98</v>
      </c>
      <c r="F116" s="2" t="s">
        <v>159</v>
      </c>
    </row>
    <row r="117" spans="1:6" x14ac:dyDescent="0.2">
      <c r="F117" s="2"/>
    </row>
    <row r="118" spans="1:6" x14ac:dyDescent="0.2">
      <c r="A118" s="61">
        <v>840</v>
      </c>
      <c r="B118" s="61">
        <v>22000</v>
      </c>
      <c r="C118" s="61">
        <f>ROUNDUP(C120/9,)</f>
        <v>0</v>
      </c>
      <c r="D118" s="61" t="s">
        <v>9</v>
      </c>
      <c r="E118" s="61"/>
      <c r="F118" s="69" t="s">
        <v>75</v>
      </c>
    </row>
    <row r="119" spans="1:6" x14ac:dyDescent="0.2">
      <c r="F119" s="2"/>
    </row>
    <row r="120" spans="1:6" x14ac:dyDescent="0.2">
      <c r="C120" s="1">
        <v>0</v>
      </c>
      <c r="D120" s="1" t="s">
        <v>11</v>
      </c>
      <c r="F120" s="46" t="s">
        <v>182</v>
      </c>
    </row>
    <row r="121" spans="1:6" x14ac:dyDescent="0.2">
      <c r="F121" s="2"/>
    </row>
    <row r="122" spans="1:6" x14ac:dyDescent="0.2">
      <c r="F122" s="2"/>
    </row>
    <row r="123" spans="1:6" x14ac:dyDescent="0.2">
      <c r="A123" s="61">
        <v>840</v>
      </c>
      <c r="B123" s="61">
        <v>23000</v>
      </c>
      <c r="C123" s="61">
        <f>ROUNDUP(C138/27,)</f>
        <v>2035</v>
      </c>
      <c r="D123" s="62" t="s">
        <v>6</v>
      </c>
      <c r="E123" s="61"/>
      <c r="F123" s="67" t="s">
        <v>76</v>
      </c>
    </row>
    <row r="124" spans="1:6" x14ac:dyDescent="0.2">
      <c r="F124" s="2"/>
    </row>
    <row r="125" spans="1:6" x14ac:dyDescent="0.2">
      <c r="F125" s="2"/>
    </row>
    <row r="126" spans="1:6" ht="15" x14ac:dyDescent="0.25">
      <c r="C126" s="64">
        <v>2436.3000000000002</v>
      </c>
      <c r="D126" s="47" t="s">
        <v>11</v>
      </c>
      <c r="F126" s="46" t="s">
        <v>257</v>
      </c>
    </row>
    <row r="127" spans="1:6" ht="15" x14ac:dyDescent="0.25">
      <c r="C127" s="64">
        <v>2650.62</v>
      </c>
      <c r="D127" s="47" t="s">
        <v>11</v>
      </c>
      <c r="F127" s="46" t="s">
        <v>258</v>
      </c>
    </row>
    <row r="128" spans="1:6" ht="15" x14ac:dyDescent="0.25">
      <c r="C128" s="64">
        <v>221.33</v>
      </c>
      <c r="D128" s="47" t="s">
        <v>10</v>
      </c>
      <c r="F128" s="46" t="s">
        <v>255</v>
      </c>
    </row>
    <row r="129" spans="1:6" ht="15" x14ac:dyDescent="0.25">
      <c r="C129" s="64">
        <f>C127/C128</f>
        <v>11.975873130619435</v>
      </c>
      <c r="D129" s="47" t="s">
        <v>10</v>
      </c>
      <c r="F129" s="46" t="s">
        <v>259</v>
      </c>
    </row>
    <row r="130" spans="1:6" x14ac:dyDescent="0.2">
      <c r="B130" s="1" t="s">
        <v>250</v>
      </c>
      <c r="C130" s="9">
        <f>C129*C126</f>
        <v>29176.819708128132</v>
      </c>
      <c r="D130" s="47" t="s">
        <v>98</v>
      </c>
      <c r="F130" s="46" t="s">
        <v>187</v>
      </c>
    </row>
    <row r="131" spans="1:6" x14ac:dyDescent="0.2">
      <c r="C131"/>
      <c r="D131" s="47"/>
      <c r="F131" s="46"/>
    </row>
    <row r="132" spans="1:6" ht="15" x14ac:dyDescent="0.25">
      <c r="C132" s="73">
        <v>2221.6999999999998</v>
      </c>
      <c r="D132" s="47" t="s">
        <v>11</v>
      </c>
      <c r="F132" s="46" t="s">
        <v>186</v>
      </c>
    </row>
    <row r="133" spans="1:6" ht="15" x14ac:dyDescent="0.25">
      <c r="C133" s="64">
        <v>2504.8200000000002</v>
      </c>
      <c r="D133" s="47" t="s">
        <v>11</v>
      </c>
      <c r="F133" s="46" t="s">
        <v>254</v>
      </c>
    </row>
    <row r="134" spans="1:6" x14ac:dyDescent="0.2">
      <c r="C134" s="1">
        <v>215.97</v>
      </c>
      <c r="D134" s="47" t="s">
        <v>10</v>
      </c>
      <c r="F134" s="46" t="s">
        <v>256</v>
      </c>
    </row>
    <row r="135" spans="1:6" ht="15" x14ac:dyDescent="0.25">
      <c r="C135" s="64">
        <f>C133/C134</f>
        <v>11.597999722183637</v>
      </c>
      <c r="D135" s="47" t="s">
        <v>10</v>
      </c>
      <c r="F135" s="46" t="s">
        <v>259</v>
      </c>
    </row>
    <row r="136" spans="1:6" x14ac:dyDescent="0.2">
      <c r="C136" s="9">
        <f>C135*C132</f>
        <v>25767.275982775383</v>
      </c>
      <c r="D136" s="47" t="s">
        <v>98</v>
      </c>
      <c r="F136" s="46" t="s">
        <v>188</v>
      </c>
    </row>
    <row r="137" spans="1:6" x14ac:dyDescent="0.2">
      <c r="C137" s="9"/>
      <c r="D137" s="47"/>
      <c r="F137" s="46"/>
    </row>
    <row r="138" spans="1:6" x14ac:dyDescent="0.2">
      <c r="C138" s="9">
        <f>C130+C136</f>
        <v>54944.095690903516</v>
      </c>
      <c r="D138" s="47" t="s">
        <v>98</v>
      </c>
      <c r="F138" s="46" t="s">
        <v>125</v>
      </c>
    </row>
    <row r="139" spans="1:6" x14ac:dyDescent="0.2">
      <c r="F139" s="2"/>
    </row>
    <row r="140" spans="1:6" x14ac:dyDescent="0.2">
      <c r="A140" s="61">
        <v>840</v>
      </c>
      <c r="B140" s="61">
        <v>25010</v>
      </c>
      <c r="C140" s="61">
        <f>ROUNDUP(C145,)</f>
        <v>463</v>
      </c>
      <c r="D140" s="61" t="s">
        <v>10</v>
      </c>
      <c r="E140" s="61"/>
      <c r="F140" s="58" t="s">
        <v>78</v>
      </c>
    </row>
    <row r="141" spans="1:6" x14ac:dyDescent="0.2">
      <c r="F141" s="2"/>
    </row>
    <row r="142" spans="1:6" ht="15" x14ac:dyDescent="0.25">
      <c r="C142" s="64">
        <v>438</v>
      </c>
      <c r="D142" s="1" t="s">
        <v>10</v>
      </c>
      <c r="F142" s="46" t="s">
        <v>189</v>
      </c>
    </row>
    <row r="143" spans="1:6" ht="15" x14ac:dyDescent="0.25">
      <c r="C143" s="64">
        <v>25</v>
      </c>
      <c r="D143" s="47" t="s">
        <v>10</v>
      </c>
      <c r="F143" s="46" t="s">
        <v>190</v>
      </c>
    </row>
    <row r="144" spans="1:6" x14ac:dyDescent="0.2">
      <c r="D144" s="47"/>
      <c r="F144" s="46"/>
    </row>
    <row r="145" spans="1:6" x14ac:dyDescent="0.2">
      <c r="C145" s="1">
        <f>C143+C142</f>
        <v>463</v>
      </c>
      <c r="D145" s="47" t="s">
        <v>10</v>
      </c>
      <c r="F145" s="46" t="s">
        <v>191</v>
      </c>
    </row>
    <row r="146" spans="1:6" x14ac:dyDescent="0.2">
      <c r="F146" s="2"/>
    </row>
    <row r="147" spans="1:6" x14ac:dyDescent="0.2">
      <c r="A147" s="61">
        <v>840</v>
      </c>
      <c r="B147" s="61">
        <v>25020</v>
      </c>
      <c r="C147" s="61">
        <f>C149</f>
        <v>0</v>
      </c>
      <c r="D147" s="61" t="s">
        <v>10</v>
      </c>
      <c r="E147" s="61"/>
      <c r="F147" s="58" t="s">
        <v>79</v>
      </c>
    </row>
    <row r="148" spans="1:6" x14ac:dyDescent="0.2">
      <c r="F148" s="2"/>
    </row>
    <row r="149" spans="1:6" x14ac:dyDescent="0.2">
      <c r="C149" s="1">
        <v>0</v>
      </c>
      <c r="D149" s="1" t="s">
        <v>10</v>
      </c>
      <c r="F149" s="46" t="s">
        <v>174</v>
      </c>
    </row>
    <row r="150" spans="1:6" x14ac:dyDescent="0.2">
      <c r="F150" s="2"/>
    </row>
    <row r="151" spans="1:6" x14ac:dyDescent="0.2">
      <c r="A151" s="70">
        <v>840</v>
      </c>
      <c r="B151" s="70">
        <v>26000</v>
      </c>
      <c r="C151" s="70">
        <f>ROUNDUP(C153,)</f>
        <v>438</v>
      </c>
      <c r="D151" s="66" t="s">
        <v>10</v>
      </c>
      <c r="E151" s="71"/>
      <c r="F151" s="58" t="s">
        <v>80</v>
      </c>
    </row>
    <row r="152" spans="1:6" x14ac:dyDescent="0.2">
      <c r="F152" s="2"/>
    </row>
    <row r="153" spans="1:6" ht="15" x14ac:dyDescent="0.25">
      <c r="C153" s="64">
        <v>437.33</v>
      </c>
      <c r="D153" s="1" t="s">
        <v>10</v>
      </c>
      <c r="F153" s="46" t="s">
        <v>172</v>
      </c>
    </row>
    <row r="154" spans="1:6" x14ac:dyDescent="0.2">
      <c r="F154" s="2"/>
    </row>
    <row r="155" spans="1:6" x14ac:dyDescent="0.2">
      <c r="A155" s="70">
        <v>840</v>
      </c>
      <c r="B155" s="70">
        <v>26050</v>
      </c>
      <c r="C155" s="70">
        <f>ROUNDUP(C157,)</f>
        <v>4878</v>
      </c>
      <c r="D155" s="66" t="s">
        <v>11</v>
      </c>
      <c r="E155" s="71"/>
      <c r="F155" s="58" t="s">
        <v>85</v>
      </c>
    </row>
    <row r="156" spans="1:6" x14ac:dyDescent="0.2">
      <c r="F156" s="2"/>
    </row>
    <row r="157" spans="1:6" ht="15" x14ac:dyDescent="0.25">
      <c r="C157" s="64">
        <v>4878</v>
      </c>
      <c r="D157" s="47" t="s">
        <v>11</v>
      </c>
      <c r="F157" s="46" t="s">
        <v>173</v>
      </c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9"/>
  <sheetViews>
    <sheetView zoomScale="130" zoomScaleNormal="13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64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2271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C47</f>
        <v>568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f>C57</f>
        <v>9732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>
        <f>C67</f>
        <v>3427</v>
      </c>
      <c r="E10" s="51" t="s">
        <v>6</v>
      </c>
      <c r="F10" s="51" t="s">
        <v>197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C53</f>
        <v>4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v>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C98</f>
        <v>2316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C111</f>
        <v>18915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C115</f>
        <v>3115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C125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C130</f>
        <v>18105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C141</f>
        <v>619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C148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C152</f>
        <v>594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C156</f>
        <v>18915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ROUNDUP(C44/27,)</f>
        <v>2271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15327.64</v>
      </c>
      <c r="D41" s="47" t="s">
        <v>11</v>
      </c>
      <c r="F41" s="46" t="s">
        <v>175</v>
      </c>
    </row>
    <row r="42" spans="1:7" ht="15" x14ac:dyDescent="0.25">
      <c r="A42" s="24"/>
      <c r="B42" s="24"/>
      <c r="C42" s="64">
        <v>4</v>
      </c>
      <c r="D42" s="47" t="s">
        <v>10</v>
      </c>
      <c r="F42" s="46" t="s">
        <v>97</v>
      </c>
    </row>
    <row r="43" spans="1:7" x14ac:dyDescent="0.2">
      <c r="A43" s="24"/>
      <c r="B43" s="24"/>
      <c r="C43"/>
      <c r="D43" s="47"/>
      <c r="F43" s="46"/>
    </row>
    <row r="44" spans="1:7" x14ac:dyDescent="0.2">
      <c r="A44" s="24"/>
      <c r="B44" s="24"/>
      <c r="C44" s="1">
        <f>C42*C41</f>
        <v>61310.559999999998</v>
      </c>
      <c r="D44" s="47" t="s">
        <v>98</v>
      </c>
      <c r="F44" s="46" t="s">
        <v>99</v>
      </c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24"/>
      <c r="B46" s="24"/>
      <c r="C46" s="24"/>
      <c r="D46" s="24"/>
      <c r="E46" s="24"/>
      <c r="F46" s="26"/>
    </row>
    <row r="47" spans="1:7" x14ac:dyDescent="0.2">
      <c r="A47" s="61">
        <v>203</v>
      </c>
      <c r="B47" s="61">
        <v>35120</v>
      </c>
      <c r="C47" s="61">
        <f>ROUNDUP(C51/27,)</f>
        <v>568</v>
      </c>
      <c r="D47" s="62" t="s">
        <v>6</v>
      </c>
      <c r="E47" s="61"/>
      <c r="F47" s="67" t="s">
        <v>95</v>
      </c>
    </row>
    <row r="48" spans="1:7" x14ac:dyDescent="0.2">
      <c r="F48" s="2"/>
    </row>
    <row r="49" spans="1:6" ht="15" x14ac:dyDescent="0.25">
      <c r="C49" s="64">
        <v>15327.64</v>
      </c>
      <c r="D49" s="47" t="s">
        <v>11</v>
      </c>
      <c r="F49" s="46" t="s">
        <v>171</v>
      </c>
    </row>
    <row r="50" spans="1:6" ht="15" x14ac:dyDescent="0.25">
      <c r="C50" s="64">
        <v>1</v>
      </c>
      <c r="D50" s="47" t="s">
        <v>10</v>
      </c>
      <c r="F50" s="46" t="s">
        <v>97</v>
      </c>
    </row>
    <row r="51" spans="1:6" x14ac:dyDescent="0.2">
      <c r="C51" s="1">
        <f>C50*C49</f>
        <v>15327.64</v>
      </c>
      <c r="D51" s="47" t="s">
        <v>98</v>
      </c>
      <c r="F51" s="46" t="s">
        <v>99</v>
      </c>
    </row>
    <row r="52" spans="1:6" x14ac:dyDescent="0.2">
      <c r="D52" s="47"/>
      <c r="F52" s="46"/>
    </row>
    <row r="53" spans="1:6" x14ac:dyDescent="0.2">
      <c r="A53" s="74" t="s">
        <v>7</v>
      </c>
      <c r="B53" s="70">
        <v>20365000</v>
      </c>
      <c r="C53" s="70">
        <f>C55</f>
        <v>4</v>
      </c>
      <c r="D53" s="66" t="s">
        <v>37</v>
      </c>
      <c r="E53" s="71"/>
      <c r="F53" s="58" t="s">
        <v>71</v>
      </c>
    </row>
    <row r="54" spans="1:6" x14ac:dyDescent="0.2">
      <c r="D54" s="47"/>
      <c r="F54" s="46"/>
    </row>
    <row r="55" spans="1:6" ht="15" x14ac:dyDescent="0.25">
      <c r="C55" s="64">
        <v>4</v>
      </c>
      <c r="D55" s="47" t="s">
        <v>37</v>
      </c>
      <c r="F55" s="46" t="s">
        <v>192</v>
      </c>
    </row>
    <row r="56" spans="1:6" x14ac:dyDescent="0.2">
      <c r="D56" s="47"/>
      <c r="F56" s="46"/>
    </row>
    <row r="57" spans="1:6" x14ac:dyDescent="0.2">
      <c r="A57" s="70">
        <v>203</v>
      </c>
      <c r="B57" s="70">
        <v>98000</v>
      </c>
      <c r="C57" s="70">
        <f>ROUNDUP(C65/27,)</f>
        <v>9732</v>
      </c>
      <c r="D57" s="66" t="s">
        <v>6</v>
      </c>
      <c r="E57" s="71"/>
      <c r="F57" s="58" t="s">
        <v>89</v>
      </c>
    </row>
    <row r="58" spans="1:6" x14ac:dyDescent="0.2">
      <c r="D58" s="47"/>
      <c r="F58" s="46"/>
    </row>
    <row r="59" spans="1:6" ht="15" x14ac:dyDescent="0.25">
      <c r="C59" s="64">
        <v>28.417000000000002</v>
      </c>
      <c r="D59" s="47" t="s">
        <v>10</v>
      </c>
      <c r="F59" s="46" t="s">
        <v>260</v>
      </c>
    </row>
    <row r="60" spans="1:6" ht="15" x14ac:dyDescent="0.25">
      <c r="C60" s="64">
        <v>33.83</v>
      </c>
      <c r="D60" s="47" t="s">
        <v>10</v>
      </c>
      <c r="F60" s="46" t="s">
        <v>261</v>
      </c>
    </row>
    <row r="61" spans="1:6" x14ac:dyDescent="0.2">
      <c r="C61" s="1">
        <f>(C60+C59)/2</f>
        <v>31.1235</v>
      </c>
      <c r="D61" s="47" t="s">
        <v>10</v>
      </c>
      <c r="F61" s="46" t="s">
        <v>194</v>
      </c>
    </row>
    <row r="62" spans="1:6" x14ac:dyDescent="0.2">
      <c r="D62" s="47"/>
      <c r="F62" s="46"/>
    </row>
    <row r="63" spans="1:6" ht="15" x14ac:dyDescent="0.25">
      <c r="C63" s="64">
        <v>8442.42</v>
      </c>
      <c r="D63" s="47" t="s">
        <v>11</v>
      </c>
      <c r="F63" s="46" t="s">
        <v>262</v>
      </c>
    </row>
    <row r="64" spans="1:6" x14ac:dyDescent="0.2">
      <c r="D64" s="47"/>
      <c r="F64" s="46"/>
    </row>
    <row r="65" spans="1:6" x14ac:dyDescent="0.2">
      <c r="C65" s="1">
        <f>C63*C61</f>
        <v>262757.65886999998</v>
      </c>
      <c r="D65" s="47" t="s">
        <v>98</v>
      </c>
      <c r="F65" s="46" t="s">
        <v>196</v>
      </c>
    </row>
    <row r="66" spans="1:6" x14ac:dyDescent="0.2">
      <c r="D66" s="47"/>
      <c r="F66" s="46"/>
    </row>
    <row r="67" spans="1:6" x14ac:dyDescent="0.2">
      <c r="A67" s="70">
        <v>203</v>
      </c>
      <c r="B67" s="70">
        <v>98000</v>
      </c>
      <c r="C67" s="70">
        <f>ROUNDUP(C75/27,)</f>
        <v>3427</v>
      </c>
      <c r="D67" s="66" t="s">
        <v>6</v>
      </c>
      <c r="E67" s="71"/>
      <c r="F67" s="58" t="s">
        <v>197</v>
      </c>
    </row>
    <row r="68" spans="1:6" x14ac:dyDescent="0.2">
      <c r="D68" s="47"/>
      <c r="F68" s="46"/>
    </row>
    <row r="69" spans="1:6" ht="15" x14ac:dyDescent="0.25">
      <c r="C69" s="72">
        <v>1308.5999999999999</v>
      </c>
      <c r="D69" s="47" t="s">
        <v>10</v>
      </c>
      <c r="F69" s="46" t="s">
        <v>201</v>
      </c>
    </row>
    <row r="70" spans="1:6" ht="15" x14ac:dyDescent="0.25">
      <c r="C70" s="72">
        <v>119.417</v>
      </c>
      <c r="D70" s="47" t="s">
        <v>10</v>
      </c>
      <c r="F70" s="46" t="s">
        <v>200</v>
      </c>
    </row>
    <row r="71" spans="1:6" x14ac:dyDescent="0.2">
      <c r="C71" s="9">
        <f>C69/C70</f>
        <v>10.958238776723581</v>
      </c>
      <c r="D71" s="47" t="s">
        <v>10</v>
      </c>
      <c r="F71" s="46" t="s">
        <v>194</v>
      </c>
    </row>
    <row r="72" spans="1:6" x14ac:dyDescent="0.2">
      <c r="C72" s="9"/>
      <c r="D72" s="47"/>
      <c r="F72" s="46"/>
    </row>
    <row r="73" spans="1:6" ht="15" x14ac:dyDescent="0.25">
      <c r="C73" s="72">
        <v>8442.42</v>
      </c>
      <c r="D73" s="47" t="s">
        <v>11</v>
      </c>
      <c r="F73" s="46" t="s">
        <v>195</v>
      </c>
    </row>
    <row r="74" spans="1:6" x14ac:dyDescent="0.2">
      <c r="C74" s="9"/>
      <c r="D74" s="47"/>
      <c r="F74" s="46"/>
    </row>
    <row r="75" spans="1:6" x14ac:dyDescent="0.2">
      <c r="C75" s="9">
        <f>C73*C71</f>
        <v>92514.054213386698</v>
      </c>
      <c r="D75" s="47" t="s">
        <v>98</v>
      </c>
      <c r="F75" s="46" t="s">
        <v>199</v>
      </c>
    </row>
    <row r="76" spans="1:6" x14ac:dyDescent="0.2">
      <c r="F76" s="2"/>
    </row>
    <row r="77" spans="1:6" x14ac:dyDescent="0.2">
      <c r="A77" s="61">
        <v>511</v>
      </c>
      <c r="B77" s="61">
        <v>71200</v>
      </c>
      <c r="C77" s="61">
        <f>C79</f>
        <v>18915</v>
      </c>
      <c r="D77" s="62" t="s">
        <v>11</v>
      </c>
      <c r="E77" s="61"/>
      <c r="F77" s="67" t="s">
        <v>92</v>
      </c>
    </row>
    <row r="78" spans="1:6" x14ac:dyDescent="0.2">
      <c r="F78" s="2"/>
    </row>
    <row r="79" spans="1:6" ht="15" x14ac:dyDescent="0.25">
      <c r="C79" s="64">
        <v>18915</v>
      </c>
      <c r="D79" s="65" t="s">
        <v>11</v>
      </c>
      <c r="F79" s="46" t="s">
        <v>263</v>
      </c>
    </row>
    <row r="80" spans="1:6" x14ac:dyDescent="0.2">
      <c r="F80" s="2"/>
    </row>
    <row r="81" spans="1:6" x14ac:dyDescent="0.2">
      <c r="A81" s="61">
        <v>511</v>
      </c>
      <c r="B81" s="61">
        <v>81100</v>
      </c>
      <c r="C81" s="61">
        <f>ROUNDUP(C83,)</f>
        <v>594</v>
      </c>
      <c r="D81" s="61" t="s">
        <v>10</v>
      </c>
      <c r="E81" s="61"/>
      <c r="F81" s="58" t="s">
        <v>93</v>
      </c>
    </row>
    <row r="82" spans="1:6" x14ac:dyDescent="0.2">
      <c r="F82" s="2"/>
    </row>
    <row r="83" spans="1:6" ht="15" x14ac:dyDescent="0.25">
      <c r="C83" s="64">
        <v>593.12</v>
      </c>
      <c r="D83" s="1" t="s">
        <v>10</v>
      </c>
      <c r="F83" s="2" t="s">
        <v>177</v>
      </c>
    </row>
    <row r="84" spans="1:6" x14ac:dyDescent="0.2">
      <c r="F84" s="2"/>
    </row>
    <row r="85" spans="1:6" x14ac:dyDescent="0.2">
      <c r="A85" s="61">
        <v>512</v>
      </c>
      <c r="B85" s="61">
        <v>10001</v>
      </c>
      <c r="C85" s="61">
        <f>ROUNDUP(C96/9,)</f>
        <v>2327</v>
      </c>
      <c r="D85" s="61" t="s">
        <v>9</v>
      </c>
      <c r="E85" s="61"/>
      <c r="F85" s="58" t="s">
        <v>87</v>
      </c>
    </row>
    <row r="86" spans="1:6" x14ac:dyDescent="0.2">
      <c r="F86" s="2"/>
    </row>
    <row r="87" spans="1:6" x14ac:dyDescent="0.2">
      <c r="C87" s="75">
        <v>18863.060000000001</v>
      </c>
      <c r="D87" s="75" t="s">
        <v>11</v>
      </c>
      <c r="E87" s="75"/>
      <c r="F87" s="76" t="s">
        <v>128</v>
      </c>
    </row>
    <row r="88" spans="1:6" x14ac:dyDescent="0.2">
      <c r="C88" s="75"/>
      <c r="D88" s="75"/>
      <c r="E88" s="75"/>
      <c r="F88" s="76"/>
    </row>
    <row r="89" spans="1:6" ht="15" x14ac:dyDescent="0.25">
      <c r="C89" s="78">
        <v>2</v>
      </c>
      <c r="D89" s="75" t="s">
        <v>10</v>
      </c>
      <c r="E89" s="75"/>
      <c r="F89" s="76" t="s">
        <v>129</v>
      </c>
    </row>
    <row r="90" spans="1:6" ht="15" x14ac:dyDescent="0.25">
      <c r="C90" s="78">
        <v>1</v>
      </c>
      <c r="D90" s="75" t="s">
        <v>10</v>
      </c>
      <c r="E90" s="75"/>
      <c r="F90" s="76" t="s">
        <v>130</v>
      </c>
    </row>
    <row r="91" spans="1:6" ht="15" x14ac:dyDescent="0.25">
      <c r="C91" s="78">
        <v>0.5</v>
      </c>
      <c r="D91" s="75" t="s">
        <v>10</v>
      </c>
      <c r="E91" s="75"/>
      <c r="F91" s="76" t="s">
        <v>131</v>
      </c>
    </row>
    <row r="92" spans="1:6" ht="15" x14ac:dyDescent="0.25">
      <c r="C92" s="78">
        <v>593.12</v>
      </c>
      <c r="D92" s="75" t="s">
        <v>10</v>
      </c>
      <c r="E92" s="75"/>
      <c r="F92" s="76" t="s">
        <v>164</v>
      </c>
    </row>
    <row r="93" spans="1:6" x14ac:dyDescent="0.2">
      <c r="C93" s="75"/>
      <c r="D93" s="75"/>
      <c r="E93" s="75"/>
      <c r="F93" s="76"/>
    </row>
    <row r="94" spans="1:6" x14ac:dyDescent="0.2">
      <c r="C94" s="75">
        <f>(C89+C90+C91)*C92</f>
        <v>2075.92</v>
      </c>
      <c r="D94" s="75" t="s">
        <v>11</v>
      </c>
      <c r="E94" s="75"/>
      <c r="F94" s="76" t="s">
        <v>133</v>
      </c>
    </row>
    <row r="95" spans="1:6" x14ac:dyDescent="0.2">
      <c r="C95" s="75"/>
      <c r="D95" s="75"/>
      <c r="E95" s="75"/>
      <c r="F95" s="76"/>
    </row>
    <row r="96" spans="1:6" x14ac:dyDescent="0.2">
      <c r="C96" s="75">
        <f>C87+C94</f>
        <v>20938.980000000003</v>
      </c>
      <c r="D96" s="75" t="s">
        <v>11</v>
      </c>
      <c r="E96" s="75"/>
      <c r="F96" s="76" t="s">
        <v>134</v>
      </c>
    </row>
    <row r="97" spans="1:6" x14ac:dyDescent="0.2">
      <c r="F97" s="2"/>
    </row>
    <row r="98" spans="1:6" x14ac:dyDescent="0.2">
      <c r="A98" s="61">
        <v>512</v>
      </c>
      <c r="B98" s="61">
        <v>10100</v>
      </c>
      <c r="C98" s="61">
        <f>ROUNDUP(C109/9,)</f>
        <v>2316</v>
      </c>
      <c r="D98" s="61" t="s">
        <v>9</v>
      </c>
      <c r="E98" s="61"/>
      <c r="F98" s="58" t="s">
        <v>88</v>
      </c>
    </row>
    <row r="99" spans="1:6" x14ac:dyDescent="0.2">
      <c r="F99" s="2"/>
    </row>
    <row r="100" spans="1:6" x14ac:dyDescent="0.2">
      <c r="C100" s="1">
        <v>18863.060000000001</v>
      </c>
      <c r="D100" s="1" t="s">
        <v>11</v>
      </c>
      <c r="F100" s="2" t="s">
        <v>128</v>
      </c>
    </row>
    <row r="101" spans="1:6" x14ac:dyDescent="0.2">
      <c r="F101" s="2"/>
    </row>
    <row r="102" spans="1:6" ht="15" x14ac:dyDescent="0.25">
      <c r="C102" s="64">
        <v>2</v>
      </c>
      <c r="D102" s="1" t="s">
        <v>10</v>
      </c>
      <c r="F102" s="2" t="s">
        <v>129</v>
      </c>
    </row>
    <row r="103" spans="1:6" ht="15" x14ac:dyDescent="0.25">
      <c r="C103" s="64">
        <v>0.83</v>
      </c>
      <c r="D103" s="1" t="s">
        <v>10</v>
      </c>
      <c r="F103" s="2" t="s">
        <v>130</v>
      </c>
    </row>
    <row r="104" spans="1:6" ht="15" x14ac:dyDescent="0.25">
      <c r="C104" s="64">
        <v>0.5</v>
      </c>
      <c r="D104" s="1" t="s">
        <v>10</v>
      </c>
      <c r="F104" s="2" t="s">
        <v>131</v>
      </c>
    </row>
    <row r="105" spans="1:6" ht="15" x14ac:dyDescent="0.25">
      <c r="C105" s="64">
        <v>593.12</v>
      </c>
      <c r="D105" s="1" t="s">
        <v>10</v>
      </c>
      <c r="F105" s="2" t="s">
        <v>132</v>
      </c>
    </row>
    <row r="106" spans="1:6" x14ac:dyDescent="0.2">
      <c r="F106" s="2"/>
    </row>
    <row r="107" spans="1:6" x14ac:dyDescent="0.2">
      <c r="C107" s="1">
        <f>(C102+C103+C104)*C105</f>
        <v>1975.0896</v>
      </c>
      <c r="D107" s="1" t="s">
        <v>11</v>
      </c>
      <c r="F107" s="2" t="s">
        <v>133</v>
      </c>
    </row>
    <row r="108" spans="1:6" x14ac:dyDescent="0.2">
      <c r="F108" s="2"/>
    </row>
    <row r="109" spans="1:6" x14ac:dyDescent="0.2">
      <c r="C109" s="1">
        <f>C100+C107</f>
        <v>20838.149600000001</v>
      </c>
      <c r="D109" s="1" t="s">
        <v>11</v>
      </c>
      <c r="F109" s="2" t="s">
        <v>134</v>
      </c>
    </row>
    <row r="110" spans="1:6" x14ac:dyDescent="0.2">
      <c r="F110" s="2"/>
    </row>
    <row r="111" spans="1:6" x14ac:dyDescent="0.2">
      <c r="A111" s="61">
        <v>840</v>
      </c>
      <c r="B111" s="61">
        <v>20001</v>
      </c>
      <c r="C111" s="61">
        <f>ROUNDUP(C113,)</f>
        <v>18915</v>
      </c>
      <c r="D111" s="61" t="s">
        <v>11</v>
      </c>
      <c r="E111" s="61"/>
      <c r="F111" s="58" t="s">
        <v>73</v>
      </c>
    </row>
    <row r="112" spans="1:6" x14ac:dyDescent="0.2">
      <c r="F112" s="2"/>
    </row>
    <row r="113" spans="1:6" ht="15" x14ac:dyDescent="0.25">
      <c r="C113" s="64">
        <v>18915</v>
      </c>
      <c r="D113" s="65" t="s">
        <v>11</v>
      </c>
      <c r="F113" s="46" t="s">
        <v>178</v>
      </c>
    </row>
    <row r="114" spans="1:6" x14ac:dyDescent="0.2">
      <c r="D114" s="47"/>
      <c r="F114" s="46"/>
    </row>
    <row r="115" spans="1:6" x14ac:dyDescent="0.2">
      <c r="A115" s="61">
        <v>840</v>
      </c>
      <c r="B115" s="61">
        <v>21000</v>
      </c>
      <c r="C115" s="61">
        <f>ROUNDUP(C123/27,)</f>
        <v>3115</v>
      </c>
      <c r="D115" s="61" t="s">
        <v>6</v>
      </c>
      <c r="E115" s="61"/>
      <c r="F115" s="69" t="s">
        <v>74</v>
      </c>
    </row>
    <row r="116" spans="1:6" x14ac:dyDescent="0.2">
      <c r="F116" s="2"/>
    </row>
    <row r="117" spans="1:6" ht="15" x14ac:dyDescent="0.25">
      <c r="C117" s="72">
        <v>3253.57</v>
      </c>
      <c r="D117" s="1" t="s">
        <v>11</v>
      </c>
      <c r="F117" s="46" t="s">
        <v>202</v>
      </c>
    </row>
    <row r="118" spans="1:6" ht="15" x14ac:dyDescent="0.25">
      <c r="C118" s="72">
        <v>593.12</v>
      </c>
      <c r="D118" s="47" t="s">
        <v>10</v>
      </c>
      <c r="F118" s="46" t="s">
        <v>203</v>
      </c>
    </row>
    <row r="119" spans="1:6" ht="15" x14ac:dyDescent="0.25">
      <c r="C119" s="72">
        <f>C117/C118</f>
        <v>5.4855172646344759</v>
      </c>
      <c r="D119" s="1" t="s">
        <v>10</v>
      </c>
      <c r="F119" s="46" t="s">
        <v>205</v>
      </c>
    </row>
    <row r="120" spans="1:6" x14ac:dyDescent="0.2">
      <c r="C120"/>
      <c r="F120" s="46"/>
    </row>
    <row r="121" spans="1:6" ht="15" x14ac:dyDescent="0.25">
      <c r="C121" s="72">
        <v>15327.64</v>
      </c>
      <c r="D121" s="47" t="s">
        <v>11</v>
      </c>
      <c r="F121" s="46" t="s">
        <v>195</v>
      </c>
    </row>
    <row r="122" spans="1:6" x14ac:dyDescent="0.2">
      <c r="C122"/>
      <c r="F122" s="46"/>
    </row>
    <row r="123" spans="1:6" x14ac:dyDescent="0.2">
      <c r="C123" s="9">
        <f>C121*C119</f>
        <v>84080.033846101971</v>
      </c>
      <c r="D123" s="1" t="s">
        <v>98</v>
      </c>
      <c r="F123" s="46" t="s">
        <v>181</v>
      </c>
    </row>
    <row r="124" spans="1:6" x14ac:dyDescent="0.2">
      <c r="F124" s="2"/>
    </row>
    <row r="125" spans="1:6" x14ac:dyDescent="0.2">
      <c r="A125" s="61">
        <v>840</v>
      </c>
      <c r="B125" s="61">
        <v>22000</v>
      </c>
      <c r="C125" s="61">
        <f>ROUNDUP(C127/9,)</f>
        <v>0</v>
      </c>
      <c r="D125" s="61" t="s">
        <v>9</v>
      </c>
      <c r="E125" s="61"/>
      <c r="F125" s="69" t="s">
        <v>75</v>
      </c>
    </row>
    <row r="126" spans="1:6" x14ac:dyDescent="0.2">
      <c r="F126" s="2"/>
    </row>
    <row r="127" spans="1:6" x14ac:dyDescent="0.2">
      <c r="C127" s="1">
        <v>0</v>
      </c>
      <c r="D127" s="1" t="s">
        <v>11</v>
      </c>
      <c r="F127" s="46" t="s">
        <v>182</v>
      </c>
    </row>
    <row r="128" spans="1:6" x14ac:dyDescent="0.2">
      <c r="F128" s="2"/>
    </row>
    <row r="129" spans="1:6" x14ac:dyDescent="0.2">
      <c r="F129" s="2"/>
    </row>
    <row r="130" spans="1:6" x14ac:dyDescent="0.2">
      <c r="A130" s="61">
        <v>840</v>
      </c>
      <c r="B130" s="61">
        <v>23000</v>
      </c>
      <c r="C130" s="61">
        <f>ROUNDUP(C139/27,)</f>
        <v>18105</v>
      </c>
      <c r="D130" s="62" t="s">
        <v>6</v>
      </c>
      <c r="E130" s="61"/>
      <c r="F130" s="67" t="s">
        <v>76</v>
      </c>
    </row>
    <row r="131" spans="1:6" x14ac:dyDescent="0.2">
      <c r="F131" s="2"/>
    </row>
    <row r="132" spans="1:6" x14ac:dyDescent="0.2">
      <c r="F132" s="2"/>
    </row>
    <row r="133" spans="1:6" ht="15" x14ac:dyDescent="0.25">
      <c r="C133" s="64">
        <v>18915</v>
      </c>
      <c r="D133" s="47" t="s">
        <v>11</v>
      </c>
      <c r="F133" s="46" t="s">
        <v>204</v>
      </c>
    </row>
    <row r="134" spans="1:6" x14ac:dyDescent="0.2">
      <c r="C134"/>
      <c r="D134" s="47"/>
      <c r="F134" s="46"/>
    </row>
    <row r="135" spans="1:6" ht="15" x14ac:dyDescent="0.25">
      <c r="C135" s="64">
        <v>15327.64</v>
      </c>
      <c r="D135" s="47"/>
      <c r="F135" s="46" t="s">
        <v>195</v>
      </c>
    </row>
    <row r="136" spans="1:6" ht="15" x14ac:dyDescent="0.25">
      <c r="C136" s="64">
        <v>593.12</v>
      </c>
      <c r="D136" s="47" t="s">
        <v>10</v>
      </c>
      <c r="F136" s="46" t="s">
        <v>200</v>
      </c>
    </row>
    <row r="137" spans="1:6" x14ac:dyDescent="0.2">
      <c r="C137" s="9">
        <f>C135/C136</f>
        <v>25.842392770434312</v>
      </c>
      <c r="D137" s="47" t="s">
        <v>98</v>
      </c>
      <c r="F137" s="46" t="s">
        <v>264</v>
      </c>
    </row>
    <row r="138" spans="1:6" x14ac:dyDescent="0.2">
      <c r="C138"/>
      <c r="D138" s="47"/>
      <c r="F138" s="46"/>
    </row>
    <row r="139" spans="1:6" x14ac:dyDescent="0.2">
      <c r="C139" s="9">
        <f>C137*C133</f>
        <v>488808.85925276502</v>
      </c>
      <c r="D139" s="47" t="s">
        <v>98</v>
      </c>
      <c r="F139" s="46" t="s">
        <v>125</v>
      </c>
    </row>
    <row r="140" spans="1:6" x14ac:dyDescent="0.2">
      <c r="F140" s="2"/>
    </row>
    <row r="141" spans="1:6" x14ac:dyDescent="0.2">
      <c r="A141" s="61">
        <v>840</v>
      </c>
      <c r="B141" s="61">
        <v>25010</v>
      </c>
      <c r="C141" s="61">
        <f>ROUNDUP(C146,)</f>
        <v>619</v>
      </c>
      <c r="D141" s="61" t="s">
        <v>10</v>
      </c>
      <c r="E141" s="61"/>
      <c r="F141" s="58" t="s">
        <v>78</v>
      </c>
    </row>
    <row r="142" spans="1:6" x14ac:dyDescent="0.2">
      <c r="F142" s="2"/>
    </row>
    <row r="143" spans="1:6" ht="15" x14ac:dyDescent="0.25">
      <c r="C143" s="64">
        <v>593.12</v>
      </c>
      <c r="D143" s="1" t="s">
        <v>10</v>
      </c>
      <c r="F143" s="46" t="s">
        <v>189</v>
      </c>
    </row>
    <row r="144" spans="1:6" ht="15" x14ac:dyDescent="0.25">
      <c r="C144" s="64">
        <v>25</v>
      </c>
      <c r="D144" s="47" t="s">
        <v>10</v>
      </c>
      <c r="F144" s="46" t="s">
        <v>206</v>
      </c>
    </row>
    <row r="145" spans="1:6" x14ac:dyDescent="0.2">
      <c r="D145" s="47"/>
      <c r="F145" s="46"/>
    </row>
    <row r="146" spans="1:6" x14ac:dyDescent="0.2">
      <c r="C146" s="1">
        <f>C144+C143</f>
        <v>618.12</v>
      </c>
      <c r="D146" s="47" t="s">
        <v>10</v>
      </c>
      <c r="F146" s="46" t="s">
        <v>191</v>
      </c>
    </row>
    <row r="147" spans="1:6" x14ac:dyDescent="0.2">
      <c r="F147" s="2"/>
    </row>
    <row r="148" spans="1:6" x14ac:dyDescent="0.2">
      <c r="A148" s="61">
        <v>840</v>
      </c>
      <c r="B148" s="61">
        <v>25020</v>
      </c>
      <c r="C148" s="61">
        <f>C150</f>
        <v>0</v>
      </c>
      <c r="D148" s="61" t="s">
        <v>10</v>
      </c>
      <c r="E148" s="61"/>
      <c r="F148" s="58" t="s">
        <v>79</v>
      </c>
    </row>
    <row r="149" spans="1:6" x14ac:dyDescent="0.2">
      <c r="F149" s="2"/>
    </row>
    <row r="150" spans="1:6" x14ac:dyDescent="0.2">
      <c r="C150" s="1">
        <v>0</v>
      </c>
      <c r="D150" s="1" t="s">
        <v>10</v>
      </c>
      <c r="F150" s="46" t="s">
        <v>174</v>
      </c>
    </row>
    <row r="151" spans="1:6" x14ac:dyDescent="0.2">
      <c r="F151" s="2"/>
    </row>
    <row r="152" spans="1:6" x14ac:dyDescent="0.2">
      <c r="A152" s="70">
        <v>840</v>
      </c>
      <c r="B152" s="70">
        <v>26000</v>
      </c>
      <c r="C152" s="70">
        <f>ROUNDUP(C154,)</f>
        <v>594</v>
      </c>
      <c r="D152" s="66" t="s">
        <v>10</v>
      </c>
      <c r="E152" s="71"/>
      <c r="F152" s="58" t="s">
        <v>80</v>
      </c>
    </row>
    <row r="153" spans="1:6" x14ac:dyDescent="0.2">
      <c r="F153" s="2"/>
    </row>
    <row r="154" spans="1:6" ht="15" x14ac:dyDescent="0.25">
      <c r="C154" s="64">
        <v>593.12</v>
      </c>
      <c r="D154" s="1" t="s">
        <v>10</v>
      </c>
      <c r="F154" s="46" t="s">
        <v>172</v>
      </c>
    </row>
    <row r="155" spans="1:6" x14ac:dyDescent="0.2">
      <c r="F155" s="2"/>
    </row>
    <row r="156" spans="1:6" x14ac:dyDescent="0.2">
      <c r="A156" s="70">
        <v>840</v>
      </c>
      <c r="B156" s="70">
        <v>26050</v>
      </c>
      <c r="C156" s="70">
        <f>ROUNDUP(C158,)</f>
        <v>18915</v>
      </c>
      <c r="D156" s="66" t="s">
        <v>11</v>
      </c>
      <c r="E156" s="71"/>
      <c r="F156" s="58" t="s">
        <v>85</v>
      </c>
    </row>
    <row r="157" spans="1:6" x14ac:dyDescent="0.2">
      <c r="F157" s="2"/>
    </row>
    <row r="158" spans="1:6" ht="15" x14ac:dyDescent="0.25">
      <c r="C158" s="64">
        <v>18915</v>
      </c>
      <c r="D158" s="47" t="s">
        <v>11</v>
      </c>
      <c r="F158" s="46" t="s">
        <v>173</v>
      </c>
    </row>
    <row r="159" spans="1:6" x14ac:dyDescent="0.2">
      <c r="F159" s="2"/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zoomScale="140" zoomScaleNormal="14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65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602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C47</f>
        <v>151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f>C57</f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>
        <f>C61</f>
        <v>0</v>
      </c>
      <c r="E10" s="51" t="s">
        <v>6</v>
      </c>
      <c r="F10" s="51" t="s">
        <v>197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C53</f>
        <v>2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f>C73</f>
        <v>640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C86</f>
        <v>640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C99</f>
        <v>5235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C103</f>
        <v>1733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C113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C118</f>
        <v>5052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C129</f>
        <v>166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C136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C140</f>
        <v>156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C144</f>
        <v>5235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ROUNDUP(C44/27,)</f>
        <v>602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>
        <v>4062.81</v>
      </c>
      <c r="D41" s="47" t="s">
        <v>11</v>
      </c>
      <c r="F41" s="46" t="s">
        <v>175</v>
      </c>
    </row>
    <row r="42" spans="1:7" ht="15" x14ac:dyDescent="0.25">
      <c r="A42" s="24"/>
      <c r="B42" s="24"/>
      <c r="C42" s="64">
        <v>4</v>
      </c>
      <c r="D42" s="47" t="s">
        <v>10</v>
      </c>
      <c r="F42" s="46" t="s">
        <v>97</v>
      </c>
    </row>
    <row r="43" spans="1:7" x14ac:dyDescent="0.2">
      <c r="A43" s="24"/>
      <c r="B43" s="24"/>
      <c r="C43"/>
      <c r="D43" s="47"/>
      <c r="F43" s="46"/>
    </row>
    <row r="44" spans="1:7" x14ac:dyDescent="0.2">
      <c r="A44" s="24"/>
      <c r="B44" s="24"/>
      <c r="C44" s="1">
        <f>C42*C41</f>
        <v>16251.24</v>
      </c>
      <c r="D44" s="47" t="s">
        <v>98</v>
      </c>
      <c r="F44" s="46" t="s">
        <v>99</v>
      </c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24"/>
      <c r="B46" s="24"/>
      <c r="C46" s="24"/>
      <c r="D46" s="24"/>
      <c r="E46" s="24"/>
      <c r="F46" s="26"/>
    </row>
    <row r="47" spans="1:7" x14ac:dyDescent="0.2">
      <c r="A47" s="61">
        <v>203</v>
      </c>
      <c r="B47" s="61">
        <v>35120</v>
      </c>
      <c r="C47" s="61">
        <f>ROUNDUP(C51/27,)</f>
        <v>151</v>
      </c>
      <c r="D47" s="62" t="s">
        <v>6</v>
      </c>
      <c r="E47" s="61"/>
      <c r="F47" s="67" t="s">
        <v>95</v>
      </c>
    </row>
    <row r="48" spans="1:7" x14ac:dyDescent="0.2">
      <c r="F48" s="2"/>
    </row>
    <row r="49" spans="1:6" ht="15" x14ac:dyDescent="0.25">
      <c r="C49" s="64">
        <v>4062.81</v>
      </c>
      <c r="D49" s="47" t="s">
        <v>11</v>
      </c>
      <c r="F49" s="46" t="s">
        <v>171</v>
      </c>
    </row>
    <row r="50" spans="1:6" ht="15" x14ac:dyDescent="0.25">
      <c r="C50" s="64">
        <v>1</v>
      </c>
      <c r="D50" s="47" t="s">
        <v>10</v>
      </c>
      <c r="F50" s="46" t="s">
        <v>97</v>
      </c>
    </row>
    <row r="51" spans="1:6" x14ac:dyDescent="0.2">
      <c r="C51" s="1">
        <f>C50*C49</f>
        <v>4062.81</v>
      </c>
      <c r="D51" s="47" t="s">
        <v>98</v>
      </c>
      <c r="F51" s="46" t="s">
        <v>99</v>
      </c>
    </row>
    <row r="52" spans="1:6" x14ac:dyDescent="0.2">
      <c r="D52" s="47"/>
      <c r="F52" s="46"/>
    </row>
    <row r="53" spans="1:6" x14ac:dyDescent="0.2">
      <c r="A53" s="74" t="s">
        <v>7</v>
      </c>
      <c r="B53" s="70">
        <v>20365000</v>
      </c>
      <c r="C53" s="70">
        <f>C55</f>
        <v>2</v>
      </c>
      <c r="D53" s="66" t="s">
        <v>37</v>
      </c>
      <c r="E53" s="71"/>
      <c r="F53" s="58" t="s">
        <v>71</v>
      </c>
    </row>
    <row r="54" spans="1:6" x14ac:dyDescent="0.2">
      <c r="D54" s="47"/>
      <c r="F54" s="46"/>
    </row>
    <row r="55" spans="1:6" ht="15" x14ac:dyDescent="0.25">
      <c r="C55" s="64">
        <v>2</v>
      </c>
      <c r="D55" s="47" t="s">
        <v>37</v>
      </c>
      <c r="F55" s="46" t="s">
        <v>192</v>
      </c>
    </row>
    <row r="56" spans="1:6" x14ac:dyDescent="0.2">
      <c r="D56" s="47"/>
      <c r="F56" s="46"/>
    </row>
    <row r="57" spans="1:6" x14ac:dyDescent="0.2">
      <c r="A57" s="70">
        <v>203</v>
      </c>
      <c r="B57" s="70">
        <v>98000</v>
      </c>
      <c r="C57" s="70">
        <f>ROUNDUP(C59/27,)</f>
        <v>0</v>
      </c>
      <c r="D57" s="66" t="s">
        <v>6</v>
      </c>
      <c r="E57" s="71"/>
      <c r="F57" s="58" t="s">
        <v>89</v>
      </c>
    </row>
    <row r="58" spans="1:6" x14ac:dyDescent="0.2">
      <c r="D58" s="47"/>
      <c r="F58" s="46"/>
    </row>
    <row r="59" spans="1:6" x14ac:dyDescent="0.2">
      <c r="C59" s="1">
        <v>0</v>
      </c>
      <c r="D59" s="47" t="s">
        <v>98</v>
      </c>
      <c r="F59" s="46" t="s">
        <v>196</v>
      </c>
    </row>
    <row r="60" spans="1:6" x14ac:dyDescent="0.2">
      <c r="D60" s="47"/>
      <c r="F60" s="46"/>
    </row>
    <row r="61" spans="1:6" x14ac:dyDescent="0.2">
      <c r="A61" s="70">
        <v>203</v>
      </c>
      <c r="B61" s="70">
        <v>98000</v>
      </c>
      <c r="C61" s="70">
        <f>ROUNDUP(C63/27,)</f>
        <v>0</v>
      </c>
      <c r="D61" s="66" t="s">
        <v>6</v>
      </c>
      <c r="E61" s="71"/>
      <c r="F61" s="58" t="s">
        <v>197</v>
      </c>
    </row>
    <row r="62" spans="1:6" x14ac:dyDescent="0.2">
      <c r="D62" s="47"/>
      <c r="F62" s="46"/>
    </row>
    <row r="63" spans="1:6" x14ac:dyDescent="0.2">
      <c r="C63" s="9">
        <v>0</v>
      </c>
      <c r="D63" s="47" t="s">
        <v>98</v>
      </c>
      <c r="F63" s="46" t="s">
        <v>199</v>
      </c>
    </row>
    <row r="64" spans="1:6" x14ac:dyDescent="0.2">
      <c r="F64" s="2"/>
    </row>
    <row r="65" spans="1:6" x14ac:dyDescent="0.2">
      <c r="A65" s="61">
        <v>511</v>
      </c>
      <c r="B65" s="61">
        <v>71200</v>
      </c>
      <c r="C65" s="61">
        <f>ROUNDUP(C67,)</f>
        <v>5235</v>
      </c>
      <c r="D65" s="62" t="s">
        <v>11</v>
      </c>
      <c r="E65" s="61"/>
      <c r="F65" s="67" t="s">
        <v>92</v>
      </c>
    </row>
    <row r="66" spans="1:6" x14ac:dyDescent="0.2">
      <c r="F66" s="2"/>
    </row>
    <row r="67" spans="1:6" ht="15" x14ac:dyDescent="0.25">
      <c r="C67" s="64">
        <v>5234.3999999999996</v>
      </c>
      <c r="D67" s="65" t="s">
        <v>11</v>
      </c>
      <c r="F67" s="46" t="s">
        <v>193</v>
      </c>
    </row>
    <row r="68" spans="1:6" x14ac:dyDescent="0.2">
      <c r="F68" s="2"/>
    </row>
    <row r="69" spans="1:6" x14ac:dyDescent="0.2">
      <c r="A69" s="61">
        <v>511</v>
      </c>
      <c r="B69" s="61">
        <v>81100</v>
      </c>
      <c r="C69" s="61">
        <f>ROUNDUP(C71,)</f>
        <v>156</v>
      </c>
      <c r="D69" s="61" t="s">
        <v>10</v>
      </c>
      <c r="E69" s="61"/>
      <c r="F69" s="58" t="s">
        <v>93</v>
      </c>
    </row>
    <row r="70" spans="1:6" x14ac:dyDescent="0.2">
      <c r="F70" s="2"/>
    </row>
    <row r="71" spans="1:6" ht="15" x14ac:dyDescent="0.25">
      <c r="C71" s="64">
        <v>155.93</v>
      </c>
      <c r="D71" s="1" t="s">
        <v>10</v>
      </c>
      <c r="F71" s="2" t="s">
        <v>222</v>
      </c>
    </row>
    <row r="72" spans="1:6" x14ac:dyDescent="0.2">
      <c r="F72" s="2"/>
    </row>
    <row r="73" spans="1:6" x14ac:dyDescent="0.2">
      <c r="A73" s="61">
        <v>512</v>
      </c>
      <c r="B73" s="61">
        <v>10001</v>
      </c>
      <c r="C73" s="61">
        <f>ROUNDUP(C84/9,)</f>
        <v>640</v>
      </c>
      <c r="D73" s="61" t="s">
        <v>9</v>
      </c>
      <c r="E73" s="61"/>
      <c r="F73" s="58" t="s">
        <v>87</v>
      </c>
    </row>
    <row r="74" spans="1:6" x14ac:dyDescent="0.2">
      <c r="F74" s="2"/>
    </row>
    <row r="75" spans="1:6" x14ac:dyDescent="0.2">
      <c r="C75" s="1">
        <v>5234.3999999999996</v>
      </c>
      <c r="D75" s="1" t="s">
        <v>11</v>
      </c>
      <c r="F75" s="2" t="s">
        <v>128</v>
      </c>
    </row>
    <row r="76" spans="1:6" x14ac:dyDescent="0.2">
      <c r="F76" s="2"/>
    </row>
    <row r="77" spans="1:6" ht="15" x14ac:dyDescent="0.25">
      <c r="C77" s="64">
        <v>2</v>
      </c>
      <c r="D77" s="1" t="s">
        <v>10</v>
      </c>
      <c r="F77" s="2" t="s">
        <v>129</v>
      </c>
    </row>
    <row r="78" spans="1:6" ht="15" x14ac:dyDescent="0.25">
      <c r="C78" s="64">
        <v>0.83</v>
      </c>
      <c r="D78" s="1" t="s">
        <v>10</v>
      </c>
      <c r="F78" s="2" t="s">
        <v>130</v>
      </c>
    </row>
    <row r="79" spans="1:6" ht="15" x14ac:dyDescent="0.25">
      <c r="C79" s="64">
        <v>0.5</v>
      </c>
      <c r="D79" s="1" t="s">
        <v>10</v>
      </c>
      <c r="F79" s="2" t="s">
        <v>131</v>
      </c>
    </row>
    <row r="80" spans="1:6" ht="15" x14ac:dyDescent="0.25">
      <c r="C80" s="64">
        <v>155.93</v>
      </c>
      <c r="D80" s="1" t="s">
        <v>10</v>
      </c>
      <c r="F80" s="2" t="s">
        <v>164</v>
      </c>
    </row>
    <row r="81" spans="1:6" x14ac:dyDescent="0.2">
      <c r="F81" s="2"/>
    </row>
    <row r="82" spans="1:6" x14ac:dyDescent="0.2">
      <c r="C82" s="1">
        <f>(C77+C78+C79)*C80</f>
        <v>519.24689999999998</v>
      </c>
      <c r="D82" s="1" t="s">
        <v>11</v>
      </c>
      <c r="F82" s="2" t="s">
        <v>133</v>
      </c>
    </row>
    <row r="83" spans="1:6" x14ac:dyDescent="0.2">
      <c r="F83" s="2"/>
    </row>
    <row r="84" spans="1:6" x14ac:dyDescent="0.2">
      <c r="C84" s="1">
        <f>C75+C82</f>
        <v>5753.6468999999997</v>
      </c>
      <c r="D84" s="1" t="s">
        <v>11</v>
      </c>
      <c r="F84" s="2" t="s">
        <v>134</v>
      </c>
    </row>
    <row r="85" spans="1:6" x14ac:dyDescent="0.2">
      <c r="F85" s="2"/>
    </row>
    <row r="86" spans="1:6" x14ac:dyDescent="0.2">
      <c r="A86" s="61">
        <v>512</v>
      </c>
      <c r="B86" s="61">
        <v>10100</v>
      </c>
      <c r="C86" s="61">
        <f>ROUNDUP(C97/9,)</f>
        <v>640</v>
      </c>
      <c r="D86" s="61" t="s">
        <v>9</v>
      </c>
      <c r="E86" s="61"/>
      <c r="F86" s="58" t="s">
        <v>88</v>
      </c>
    </row>
    <row r="87" spans="1:6" x14ac:dyDescent="0.2">
      <c r="F87" s="2"/>
    </row>
    <row r="88" spans="1:6" x14ac:dyDescent="0.2">
      <c r="C88" s="1">
        <v>5234.3999999999996</v>
      </c>
      <c r="D88" s="1" t="s">
        <v>11</v>
      </c>
      <c r="F88" s="2" t="s">
        <v>128</v>
      </c>
    </row>
    <row r="89" spans="1:6" x14ac:dyDescent="0.2">
      <c r="F89" s="2"/>
    </row>
    <row r="90" spans="1:6" ht="15" x14ac:dyDescent="0.25">
      <c r="C90" s="64">
        <v>2</v>
      </c>
      <c r="D90" s="1" t="s">
        <v>10</v>
      </c>
      <c r="F90" s="2" t="s">
        <v>129</v>
      </c>
    </row>
    <row r="91" spans="1:6" ht="15" x14ac:dyDescent="0.25">
      <c r="C91" s="64">
        <v>0.83</v>
      </c>
      <c r="D91" s="1" t="s">
        <v>10</v>
      </c>
      <c r="F91" s="2" t="s">
        <v>130</v>
      </c>
    </row>
    <row r="92" spans="1:6" ht="15" x14ac:dyDescent="0.25">
      <c r="C92" s="64">
        <v>0.5</v>
      </c>
      <c r="D92" s="1" t="s">
        <v>10</v>
      </c>
      <c r="F92" s="2" t="s">
        <v>131</v>
      </c>
    </row>
    <row r="93" spans="1:6" ht="15" x14ac:dyDescent="0.25">
      <c r="C93" s="64">
        <v>155.93</v>
      </c>
      <c r="D93" s="1" t="s">
        <v>10</v>
      </c>
      <c r="F93" s="2" t="s">
        <v>132</v>
      </c>
    </row>
    <row r="94" spans="1:6" x14ac:dyDescent="0.2">
      <c r="F94" s="2"/>
    </row>
    <row r="95" spans="1:6" x14ac:dyDescent="0.2">
      <c r="C95" s="1">
        <f>(C90+C91+C92)*C93</f>
        <v>519.24689999999998</v>
      </c>
      <c r="D95" s="1" t="s">
        <v>11</v>
      </c>
      <c r="F95" s="2" t="s">
        <v>133</v>
      </c>
    </row>
    <row r="96" spans="1:6" x14ac:dyDescent="0.2">
      <c r="F96" s="2"/>
    </row>
    <row r="97" spans="1:7" x14ac:dyDescent="0.2">
      <c r="C97" s="1">
        <f>C88+C95</f>
        <v>5753.6468999999997</v>
      </c>
      <c r="D97" s="1" t="s">
        <v>11</v>
      </c>
      <c r="F97" s="2" t="s">
        <v>134</v>
      </c>
    </row>
    <row r="98" spans="1:7" x14ac:dyDescent="0.2">
      <c r="F98" s="2"/>
    </row>
    <row r="99" spans="1:7" x14ac:dyDescent="0.2">
      <c r="A99" s="61">
        <v>840</v>
      </c>
      <c r="B99" s="61">
        <v>20001</v>
      </c>
      <c r="C99" s="61">
        <f>ROUNDUP(C101,)</f>
        <v>5235</v>
      </c>
      <c r="D99" s="61" t="s">
        <v>11</v>
      </c>
      <c r="E99" s="61"/>
      <c r="F99" s="58" t="s">
        <v>73</v>
      </c>
    </row>
    <row r="100" spans="1:7" x14ac:dyDescent="0.2">
      <c r="F100" s="2"/>
    </row>
    <row r="101" spans="1:7" ht="15" x14ac:dyDescent="0.25">
      <c r="C101" s="64">
        <v>5234.3999999999996</v>
      </c>
      <c r="D101" s="65" t="s">
        <v>11</v>
      </c>
      <c r="F101" s="46" t="s">
        <v>178</v>
      </c>
      <c r="G101" s="1" t="s">
        <v>265</v>
      </c>
    </row>
    <row r="102" spans="1:7" x14ac:dyDescent="0.2">
      <c r="D102" s="47"/>
      <c r="F102" s="46"/>
    </row>
    <row r="103" spans="1:7" x14ac:dyDescent="0.2">
      <c r="A103" s="61">
        <v>840</v>
      </c>
      <c r="B103" s="61">
        <v>21000</v>
      </c>
      <c r="C103" s="61">
        <f>ROUNDUP(C111/27,)</f>
        <v>1733</v>
      </c>
      <c r="D103" s="61" t="s">
        <v>6</v>
      </c>
      <c r="E103" s="61"/>
      <c r="F103" s="69" t="s">
        <v>74</v>
      </c>
    </row>
    <row r="104" spans="1:7" x14ac:dyDescent="0.2">
      <c r="F104" s="2"/>
    </row>
    <row r="105" spans="1:7" ht="15" x14ac:dyDescent="0.25">
      <c r="C105" s="72">
        <v>1795.3</v>
      </c>
      <c r="D105" s="1" t="s">
        <v>11</v>
      </c>
      <c r="F105" s="46" t="s">
        <v>202</v>
      </c>
    </row>
    <row r="106" spans="1:7" ht="15" x14ac:dyDescent="0.25">
      <c r="C106" s="72">
        <v>155.93</v>
      </c>
      <c r="D106" s="47" t="s">
        <v>10</v>
      </c>
      <c r="F106" s="46" t="s">
        <v>203</v>
      </c>
    </row>
    <row r="107" spans="1:7" ht="15" x14ac:dyDescent="0.25">
      <c r="C107" s="72">
        <f>C105/C106</f>
        <v>11.513499647277623</v>
      </c>
      <c r="D107" s="1" t="s">
        <v>10</v>
      </c>
      <c r="F107" s="46" t="s">
        <v>205</v>
      </c>
    </row>
    <row r="108" spans="1:7" x14ac:dyDescent="0.2">
      <c r="C108"/>
      <c r="F108" s="46"/>
    </row>
    <row r="109" spans="1:7" ht="15" x14ac:dyDescent="0.25">
      <c r="C109" s="72">
        <v>4062.81</v>
      </c>
      <c r="D109" s="47" t="s">
        <v>11</v>
      </c>
      <c r="F109" s="46" t="s">
        <v>195</v>
      </c>
    </row>
    <row r="110" spans="1:7" x14ac:dyDescent="0.2">
      <c r="C110"/>
      <c r="F110" s="46"/>
    </row>
    <row r="111" spans="1:7" x14ac:dyDescent="0.2">
      <c r="C111" s="9">
        <f>C109*C107</f>
        <v>46777.161501955998</v>
      </c>
      <c r="D111" s="1" t="s">
        <v>98</v>
      </c>
      <c r="F111" s="46" t="s">
        <v>220</v>
      </c>
    </row>
    <row r="112" spans="1:7" x14ac:dyDescent="0.2">
      <c r="F112" s="2"/>
    </row>
    <row r="113" spans="1:6" x14ac:dyDescent="0.2">
      <c r="A113" s="61">
        <v>840</v>
      </c>
      <c r="B113" s="61">
        <v>22000</v>
      </c>
      <c r="C113" s="61">
        <f>ROUNDUP(C115/9,)</f>
        <v>0</v>
      </c>
      <c r="D113" s="61" t="s">
        <v>9</v>
      </c>
      <c r="E113" s="61"/>
      <c r="F113" s="69" t="s">
        <v>75</v>
      </c>
    </row>
    <row r="114" spans="1:6" x14ac:dyDescent="0.2">
      <c r="F114" s="2"/>
    </row>
    <row r="115" spans="1:6" x14ac:dyDescent="0.2">
      <c r="C115" s="1">
        <v>0</v>
      </c>
      <c r="D115" s="1" t="s">
        <v>11</v>
      </c>
      <c r="F115" s="46" t="s">
        <v>182</v>
      </c>
    </row>
    <row r="116" spans="1:6" x14ac:dyDescent="0.2">
      <c r="F116" s="2"/>
    </row>
    <row r="117" spans="1:6" x14ac:dyDescent="0.2">
      <c r="F117" s="2"/>
    </row>
    <row r="118" spans="1:6" x14ac:dyDescent="0.2">
      <c r="A118" s="61">
        <v>840</v>
      </c>
      <c r="B118" s="61">
        <v>23000</v>
      </c>
      <c r="C118" s="61">
        <f>ROUNDUP(C127/27,)</f>
        <v>5052</v>
      </c>
      <c r="D118" s="62" t="s">
        <v>6</v>
      </c>
      <c r="E118" s="61"/>
      <c r="F118" s="67" t="s">
        <v>76</v>
      </c>
    </row>
    <row r="119" spans="1:6" x14ac:dyDescent="0.2">
      <c r="F119" s="2"/>
    </row>
    <row r="120" spans="1:6" x14ac:dyDescent="0.2">
      <c r="F120" s="2"/>
    </row>
    <row r="121" spans="1:6" ht="15" x14ac:dyDescent="0.25">
      <c r="C121" s="64">
        <v>5235</v>
      </c>
      <c r="D121" s="47" t="s">
        <v>11</v>
      </c>
      <c r="F121" s="46" t="s">
        <v>221</v>
      </c>
    </row>
    <row r="122" spans="1:6" x14ac:dyDescent="0.2">
      <c r="C122"/>
      <c r="D122" s="47"/>
      <c r="F122" s="46"/>
    </row>
    <row r="123" spans="1:6" ht="15" x14ac:dyDescent="0.25">
      <c r="C123" s="64">
        <v>4062.81</v>
      </c>
      <c r="D123" s="47"/>
      <c r="F123" s="46" t="s">
        <v>195</v>
      </c>
    </row>
    <row r="124" spans="1:6" ht="15" x14ac:dyDescent="0.25">
      <c r="C124" s="64">
        <v>155.93</v>
      </c>
      <c r="D124" s="47" t="s">
        <v>10</v>
      </c>
      <c r="F124" s="46" t="s">
        <v>200</v>
      </c>
    </row>
    <row r="125" spans="1:6" x14ac:dyDescent="0.2">
      <c r="C125" s="9">
        <f>C123/C124</f>
        <v>26.05534534727121</v>
      </c>
      <c r="D125" s="47" t="s">
        <v>98</v>
      </c>
      <c r="F125" s="46" t="s">
        <v>194</v>
      </c>
    </row>
    <row r="126" spans="1:6" x14ac:dyDescent="0.2">
      <c r="C126"/>
      <c r="D126" s="47"/>
      <c r="F126" s="46"/>
    </row>
    <row r="127" spans="1:6" x14ac:dyDescent="0.2">
      <c r="C127" s="9">
        <f>C125*C121</f>
        <v>136399.73289296479</v>
      </c>
      <c r="D127" s="47" t="s">
        <v>98</v>
      </c>
      <c r="F127" s="46" t="s">
        <v>125</v>
      </c>
    </row>
    <row r="128" spans="1:6" x14ac:dyDescent="0.2">
      <c r="F128" s="2"/>
    </row>
    <row r="129" spans="1:6" x14ac:dyDescent="0.2">
      <c r="A129" s="61">
        <v>840</v>
      </c>
      <c r="B129" s="61">
        <v>25010</v>
      </c>
      <c r="C129" s="61">
        <f>ROUNDUP(C134,)</f>
        <v>166</v>
      </c>
      <c r="D129" s="61" t="s">
        <v>10</v>
      </c>
      <c r="E129" s="61"/>
      <c r="F129" s="58" t="s">
        <v>78</v>
      </c>
    </row>
    <row r="130" spans="1:6" x14ac:dyDescent="0.2">
      <c r="F130" s="2"/>
    </row>
    <row r="131" spans="1:6" ht="15" x14ac:dyDescent="0.25">
      <c r="C131" s="64">
        <v>155.93</v>
      </c>
      <c r="D131" s="1" t="s">
        <v>10</v>
      </c>
      <c r="F131" s="46" t="s">
        <v>189</v>
      </c>
    </row>
    <row r="132" spans="1:6" ht="15" x14ac:dyDescent="0.25">
      <c r="C132" s="64">
        <v>10</v>
      </c>
      <c r="D132" s="47" t="s">
        <v>10</v>
      </c>
      <c r="F132" s="46" t="s">
        <v>206</v>
      </c>
    </row>
    <row r="133" spans="1:6" x14ac:dyDescent="0.2">
      <c r="D133" s="47"/>
      <c r="F133" s="46"/>
    </row>
    <row r="134" spans="1:6" x14ac:dyDescent="0.2">
      <c r="C134" s="1">
        <f>C132+C131</f>
        <v>165.93</v>
      </c>
      <c r="D134" s="47" t="s">
        <v>10</v>
      </c>
      <c r="F134" s="46" t="s">
        <v>191</v>
      </c>
    </row>
    <row r="135" spans="1:6" x14ac:dyDescent="0.2">
      <c r="F135" s="2"/>
    </row>
    <row r="136" spans="1:6" x14ac:dyDescent="0.2">
      <c r="A136" s="61">
        <v>840</v>
      </c>
      <c r="B136" s="61">
        <v>25020</v>
      </c>
      <c r="C136" s="61">
        <f>C138</f>
        <v>0</v>
      </c>
      <c r="D136" s="61" t="s">
        <v>10</v>
      </c>
      <c r="E136" s="61"/>
      <c r="F136" s="58" t="s">
        <v>79</v>
      </c>
    </row>
    <row r="137" spans="1:6" x14ac:dyDescent="0.2">
      <c r="F137" s="2"/>
    </row>
    <row r="138" spans="1:6" x14ac:dyDescent="0.2">
      <c r="C138" s="1">
        <v>0</v>
      </c>
      <c r="D138" s="1" t="s">
        <v>10</v>
      </c>
      <c r="F138" s="46" t="s">
        <v>174</v>
      </c>
    </row>
    <row r="139" spans="1:6" x14ac:dyDescent="0.2">
      <c r="F139" s="2"/>
    </row>
    <row r="140" spans="1:6" x14ac:dyDescent="0.2">
      <c r="A140" s="70">
        <v>840</v>
      </c>
      <c r="B140" s="70">
        <v>26000</v>
      </c>
      <c r="C140" s="70">
        <f>ROUNDUP(C142,)</f>
        <v>156</v>
      </c>
      <c r="D140" s="66" t="s">
        <v>10</v>
      </c>
      <c r="E140" s="71"/>
      <c r="F140" s="58" t="s">
        <v>80</v>
      </c>
    </row>
    <row r="141" spans="1:6" x14ac:dyDescent="0.2">
      <c r="F141" s="2"/>
    </row>
    <row r="142" spans="1:6" ht="15" x14ac:dyDescent="0.25">
      <c r="C142" s="64">
        <v>155.93</v>
      </c>
      <c r="D142" s="1" t="s">
        <v>10</v>
      </c>
      <c r="F142" s="46" t="s">
        <v>172</v>
      </c>
    </row>
    <row r="143" spans="1:6" x14ac:dyDescent="0.2">
      <c r="F143" s="2"/>
    </row>
    <row r="144" spans="1:6" x14ac:dyDescent="0.2">
      <c r="A144" s="70">
        <v>840</v>
      </c>
      <c r="B144" s="70">
        <v>26050</v>
      </c>
      <c r="C144" s="70">
        <f>ROUNDUP(C146,)</f>
        <v>5235</v>
      </c>
      <c r="D144" s="66" t="s">
        <v>11</v>
      </c>
      <c r="E144" s="71"/>
      <c r="F144" s="58" t="s">
        <v>85</v>
      </c>
    </row>
    <row r="145" spans="3:6" x14ac:dyDescent="0.2">
      <c r="F145" s="2"/>
    </row>
    <row r="146" spans="3:6" ht="15" x14ac:dyDescent="0.25">
      <c r="C146" s="64">
        <v>5234.3999999999996</v>
      </c>
      <c r="D146" s="47" t="s">
        <v>11</v>
      </c>
      <c r="F146" s="46" t="s">
        <v>173</v>
      </c>
    </row>
    <row r="147" spans="3:6" x14ac:dyDescent="0.2">
      <c r="F147" s="2"/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zoomScale="140" zoomScaleNormal="140" workbookViewId="0">
      <selection activeCell="C158" sqref="C158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147" t="s">
        <v>29</v>
      </c>
      <c r="B1" s="148"/>
      <c r="C1" s="148"/>
      <c r="D1" s="148"/>
      <c r="E1" s="148"/>
      <c r="F1" s="149"/>
      <c r="G1" s="140" t="s">
        <v>30</v>
      </c>
    </row>
    <row r="2" spans="1:7" ht="12.75" customHeight="1" thickBot="1" x14ac:dyDescent="0.25">
      <c r="A2" s="150"/>
      <c r="B2" s="151"/>
      <c r="C2" s="151"/>
      <c r="D2" s="151"/>
      <c r="E2" s="151"/>
      <c r="F2" s="152"/>
      <c r="G2" s="141"/>
    </row>
    <row r="3" spans="1:7" ht="12.75" customHeight="1" x14ac:dyDescent="0.2">
      <c r="A3" s="153"/>
      <c r="B3" s="145" t="s">
        <v>0</v>
      </c>
      <c r="C3" s="145" t="s">
        <v>4</v>
      </c>
      <c r="D3" s="155" t="s">
        <v>267</v>
      </c>
      <c r="E3" s="145" t="s">
        <v>2</v>
      </c>
      <c r="F3" s="143" t="s">
        <v>3</v>
      </c>
      <c r="G3" s="141"/>
    </row>
    <row r="4" spans="1:7" ht="24" customHeight="1" thickBot="1" x14ac:dyDescent="0.25">
      <c r="A4" s="154"/>
      <c r="B4" s="146"/>
      <c r="C4" s="146"/>
      <c r="D4" s="154"/>
      <c r="E4" s="146"/>
      <c r="F4" s="144"/>
      <c r="G4" s="142"/>
    </row>
    <row r="5" spans="1:7" s="60" customFormat="1" ht="13.5" customHeight="1" x14ac:dyDescent="0.2">
      <c r="A5" s="55"/>
      <c r="B5" s="57">
        <v>202</v>
      </c>
      <c r="C5" s="57">
        <v>11200</v>
      </c>
      <c r="D5" s="57"/>
      <c r="E5" s="57" t="s">
        <v>8</v>
      </c>
      <c r="F5" s="59" t="s">
        <v>94</v>
      </c>
      <c r="G5" s="56"/>
    </row>
    <row r="6" spans="1:7" x14ac:dyDescent="0.2">
      <c r="A6" s="7"/>
      <c r="B6" s="37">
        <v>203</v>
      </c>
      <c r="C6" s="7">
        <v>20000</v>
      </c>
      <c r="D6" s="7"/>
      <c r="E6" s="51" t="s">
        <v>6</v>
      </c>
      <c r="F6" s="51" t="s">
        <v>68</v>
      </c>
      <c r="G6" s="43"/>
    </row>
    <row r="7" spans="1:7" x14ac:dyDescent="0.2">
      <c r="A7" s="7"/>
      <c r="B7" s="37">
        <v>203</v>
      </c>
      <c r="C7" s="7">
        <v>35110</v>
      </c>
      <c r="D7" s="7">
        <f>C39</f>
        <v>0</v>
      </c>
      <c r="E7" s="51" t="s">
        <v>6</v>
      </c>
      <c r="F7" s="51" t="s">
        <v>69</v>
      </c>
      <c r="G7" s="43"/>
    </row>
    <row r="8" spans="1:7" x14ac:dyDescent="0.2">
      <c r="A8" s="7"/>
      <c r="B8" s="37">
        <v>203</v>
      </c>
      <c r="C8" s="7">
        <v>35120</v>
      </c>
      <c r="D8" s="7">
        <f>C47</f>
        <v>0</v>
      </c>
      <c r="E8" s="51" t="s">
        <v>6</v>
      </c>
      <c r="F8" s="51" t="s">
        <v>70</v>
      </c>
      <c r="G8" s="43"/>
    </row>
    <row r="9" spans="1:7" x14ac:dyDescent="0.2">
      <c r="A9" s="7"/>
      <c r="B9" s="37">
        <v>203</v>
      </c>
      <c r="C9" s="7">
        <v>98000</v>
      </c>
      <c r="D9" s="7">
        <f>C57</f>
        <v>0</v>
      </c>
      <c r="E9" s="51" t="s">
        <v>6</v>
      </c>
      <c r="F9" s="51" t="s">
        <v>89</v>
      </c>
      <c r="G9" s="43"/>
    </row>
    <row r="10" spans="1:7" x14ac:dyDescent="0.2">
      <c r="A10" s="7"/>
      <c r="B10" s="37">
        <v>203</v>
      </c>
      <c r="C10" s="7">
        <v>98000</v>
      </c>
      <c r="D10" s="7">
        <f>C61</f>
        <v>0</v>
      </c>
      <c r="E10" s="51" t="s">
        <v>6</v>
      </c>
      <c r="F10" s="51" t="s">
        <v>197</v>
      </c>
      <c r="G10" s="43"/>
    </row>
    <row r="11" spans="1:7" x14ac:dyDescent="0.2">
      <c r="A11" s="7"/>
      <c r="B11" s="37">
        <v>203</v>
      </c>
      <c r="C11" s="7">
        <v>98500</v>
      </c>
      <c r="D11" s="43">
        <v>0</v>
      </c>
      <c r="E11" s="51" t="s">
        <v>8</v>
      </c>
      <c r="F11" s="51" t="s">
        <v>90</v>
      </c>
      <c r="G11" s="43"/>
    </row>
    <row r="12" spans="1:7" x14ac:dyDescent="0.2">
      <c r="A12" s="7"/>
      <c r="B12" s="37"/>
      <c r="C12" s="7"/>
      <c r="D12" s="7"/>
      <c r="E12" s="8"/>
      <c r="F12" s="51"/>
      <c r="G12" s="43"/>
    </row>
    <row r="13" spans="1:7" x14ac:dyDescent="0.2">
      <c r="A13" s="7"/>
      <c r="B13" s="52" t="s">
        <v>7</v>
      </c>
      <c r="C13" s="7">
        <v>20365000</v>
      </c>
      <c r="D13" s="7">
        <f>C53</f>
        <v>0</v>
      </c>
      <c r="E13" s="51" t="s">
        <v>37</v>
      </c>
      <c r="F13" s="51" t="s">
        <v>71</v>
      </c>
      <c r="G13" s="43"/>
    </row>
    <row r="14" spans="1:7" ht="12.75" customHeight="1" x14ac:dyDescent="0.2">
      <c r="A14" s="7"/>
      <c r="B14" s="38">
        <f>IF(VOID!E5=0, "", VOID!E5)</f>
        <v>511</v>
      </c>
      <c r="C14" s="4" t="str">
        <f>IF(VOID!F5=0, "", VOID!F5)</f>
        <v>46011</v>
      </c>
      <c r="D14" s="4"/>
      <c r="E14" s="5" t="str">
        <f>IF(VOID!H5=0, "", VOID!H5)</f>
        <v>CU YD</v>
      </c>
      <c r="F14" s="5" t="str">
        <f>IF(VOID!I5=0, "", VOID!I5)</f>
        <v>CLASS QC1 CONCRETE, AS PER PLAN</v>
      </c>
      <c r="G14" s="44"/>
    </row>
    <row r="15" spans="1:7" x14ac:dyDescent="0.2">
      <c r="A15" s="7"/>
      <c r="B15" s="38">
        <v>511</v>
      </c>
      <c r="C15" s="4">
        <v>53012</v>
      </c>
      <c r="D15" s="4">
        <v>0</v>
      </c>
      <c r="E15" s="54" t="s">
        <v>6</v>
      </c>
      <c r="F15" s="54" t="s">
        <v>91</v>
      </c>
      <c r="G15" s="44"/>
    </row>
    <row r="16" spans="1:7" x14ac:dyDescent="0.2">
      <c r="A16" s="7"/>
      <c r="B16" s="38">
        <v>511</v>
      </c>
      <c r="C16" s="4">
        <v>71200</v>
      </c>
      <c r="D16" s="4">
        <v>0</v>
      </c>
      <c r="E16" s="54" t="s">
        <v>11</v>
      </c>
      <c r="F16" s="54" t="s">
        <v>92</v>
      </c>
      <c r="G16" s="44"/>
    </row>
    <row r="17" spans="1:7" x14ac:dyDescent="0.2">
      <c r="A17" s="7"/>
      <c r="B17" s="38">
        <v>511</v>
      </c>
      <c r="C17" s="4">
        <v>81100</v>
      </c>
      <c r="D17" s="4">
        <v>0</v>
      </c>
      <c r="E17" s="54" t="s">
        <v>10</v>
      </c>
      <c r="F17" s="54" t="s">
        <v>93</v>
      </c>
      <c r="G17" s="44"/>
    </row>
    <row r="18" spans="1:7" x14ac:dyDescent="0.2">
      <c r="A18" s="7"/>
      <c r="B18" s="38"/>
      <c r="C18" s="4"/>
      <c r="D18" s="4"/>
      <c r="E18" s="54"/>
      <c r="F18" s="54"/>
      <c r="G18" s="44"/>
    </row>
    <row r="19" spans="1:7" ht="12.75" customHeight="1" x14ac:dyDescent="0.2">
      <c r="A19" s="7"/>
      <c r="B19" s="38">
        <v>512</v>
      </c>
      <c r="C19" s="4">
        <v>10001</v>
      </c>
      <c r="D19" s="4">
        <f>C73</f>
        <v>0</v>
      </c>
      <c r="E19" s="54" t="s">
        <v>9</v>
      </c>
      <c r="F19" s="54" t="s">
        <v>87</v>
      </c>
      <c r="G19" s="44"/>
    </row>
    <row r="20" spans="1:7" ht="12.75" customHeight="1" x14ac:dyDescent="0.2">
      <c r="A20" s="7"/>
      <c r="B20" s="38">
        <f>IF(VOID!E7=0, "", VOID!E7)</f>
        <v>512</v>
      </c>
      <c r="C20" s="4">
        <v>10100</v>
      </c>
      <c r="D20" s="4">
        <f>C86</f>
        <v>0</v>
      </c>
      <c r="E20" s="5" t="str">
        <f>IF(VOID!H7=0, "", VOID!H7)</f>
        <v>SQ YD</v>
      </c>
      <c r="F20" s="54" t="s">
        <v>88</v>
      </c>
      <c r="G20" s="44"/>
    </row>
    <row r="21" spans="1:7" ht="12.75" customHeight="1" x14ac:dyDescent="0.2">
      <c r="A21" s="7"/>
      <c r="B21" s="38">
        <v>517</v>
      </c>
      <c r="C21" s="4">
        <v>74501</v>
      </c>
      <c r="D21" s="44">
        <v>0</v>
      </c>
      <c r="E21" s="54" t="s">
        <v>10</v>
      </c>
      <c r="F21" s="54" t="s">
        <v>72</v>
      </c>
      <c r="G21" s="44"/>
    </row>
    <row r="22" spans="1:7" ht="12.75" customHeight="1" x14ac:dyDescent="0.2">
      <c r="A22" s="7"/>
      <c r="B22" s="38">
        <v>601</v>
      </c>
      <c r="C22" s="4">
        <v>37500</v>
      </c>
      <c r="D22" s="4">
        <v>0</v>
      </c>
      <c r="E22" s="54" t="s">
        <v>10</v>
      </c>
      <c r="F22" s="54" t="s">
        <v>83</v>
      </c>
      <c r="G22" s="44"/>
    </row>
    <row r="23" spans="1:7" ht="12.75" customHeight="1" x14ac:dyDescent="0.2">
      <c r="A23" s="7"/>
      <c r="B23" s="38">
        <v>840</v>
      </c>
      <c r="C23" s="4">
        <v>20001</v>
      </c>
      <c r="D23" s="4">
        <f>C99</f>
        <v>0</v>
      </c>
      <c r="E23" s="54" t="s">
        <v>11</v>
      </c>
      <c r="F23" s="54" t="s">
        <v>73</v>
      </c>
      <c r="G23" s="44"/>
    </row>
    <row r="24" spans="1:7" ht="12.75" customHeight="1" x14ac:dyDescent="0.2">
      <c r="A24" s="7"/>
      <c r="B24" s="38"/>
      <c r="C24" s="4"/>
      <c r="D24" s="4"/>
      <c r="E24" s="54"/>
      <c r="F24" s="54"/>
      <c r="G24" s="44"/>
    </row>
    <row r="25" spans="1:7" ht="12.75" customHeight="1" x14ac:dyDescent="0.2">
      <c r="A25" s="7"/>
      <c r="B25" s="38">
        <v>840</v>
      </c>
      <c r="C25" s="4">
        <v>21000</v>
      </c>
      <c r="D25" s="44">
        <f>C103</f>
        <v>0</v>
      </c>
      <c r="E25" s="54" t="s">
        <v>6</v>
      </c>
      <c r="F25" s="54" t="s">
        <v>74</v>
      </c>
      <c r="G25" s="4"/>
    </row>
    <row r="26" spans="1:7" ht="12.75" customHeight="1" x14ac:dyDescent="0.2">
      <c r="A26" s="7"/>
      <c r="B26" s="38">
        <v>840</v>
      </c>
      <c r="C26" s="4">
        <v>22000</v>
      </c>
      <c r="D26" s="4">
        <f>C113</f>
        <v>0</v>
      </c>
      <c r="E26" s="54" t="s">
        <v>9</v>
      </c>
      <c r="F26" s="54" t="s">
        <v>75</v>
      </c>
      <c r="G26" s="4"/>
    </row>
    <row r="27" spans="1:7" ht="12.75" customHeight="1" x14ac:dyDescent="0.2">
      <c r="A27" s="7"/>
      <c r="B27" s="38">
        <v>840</v>
      </c>
      <c r="C27" s="4">
        <v>23000</v>
      </c>
      <c r="D27" s="4">
        <f>C118</f>
        <v>0</v>
      </c>
      <c r="E27" s="54" t="s">
        <v>6</v>
      </c>
      <c r="F27" s="54" t="s">
        <v>76</v>
      </c>
      <c r="G27" s="44"/>
    </row>
    <row r="28" spans="1:7" ht="12.75" customHeight="1" x14ac:dyDescent="0.2">
      <c r="A28" s="7"/>
      <c r="B28" s="38">
        <v>840</v>
      </c>
      <c r="C28" s="4">
        <v>23050</v>
      </c>
      <c r="D28" s="4"/>
      <c r="E28" s="54" t="s">
        <v>6</v>
      </c>
      <c r="F28" s="54" t="s">
        <v>77</v>
      </c>
      <c r="G28" s="44"/>
    </row>
    <row r="29" spans="1:7" ht="12.75" customHeight="1" x14ac:dyDescent="0.2">
      <c r="A29" s="7"/>
      <c r="B29" s="38">
        <v>840</v>
      </c>
      <c r="C29" s="4">
        <v>25010</v>
      </c>
      <c r="D29" s="4">
        <f>C129</f>
        <v>0</v>
      </c>
      <c r="E29" s="54" t="s">
        <v>10</v>
      </c>
      <c r="F29" s="54" t="s">
        <v>78</v>
      </c>
      <c r="G29" s="44"/>
    </row>
    <row r="30" spans="1:7" ht="12.75" customHeight="1" x14ac:dyDescent="0.2">
      <c r="A30" s="7"/>
      <c r="B30" s="38"/>
      <c r="C30" s="4"/>
      <c r="D30" s="4"/>
      <c r="E30" s="54"/>
      <c r="F30" s="54"/>
      <c r="G30" s="44"/>
    </row>
    <row r="31" spans="1:7" ht="12.75" customHeight="1" x14ac:dyDescent="0.2">
      <c r="A31" s="7"/>
      <c r="B31" s="38">
        <v>840</v>
      </c>
      <c r="C31" s="4">
        <v>25020</v>
      </c>
      <c r="D31" s="4">
        <f>C136</f>
        <v>0</v>
      </c>
      <c r="E31" s="54" t="s">
        <v>10</v>
      </c>
      <c r="F31" s="54" t="s">
        <v>79</v>
      </c>
      <c r="G31" s="44"/>
    </row>
    <row r="32" spans="1:7" ht="12.75" customHeight="1" x14ac:dyDescent="0.2">
      <c r="A32" s="7"/>
      <c r="B32" s="38">
        <v>840</v>
      </c>
      <c r="C32" s="4">
        <v>26000</v>
      </c>
      <c r="D32" s="4">
        <f>C140</f>
        <v>0</v>
      </c>
      <c r="E32" s="54" t="s">
        <v>10</v>
      </c>
      <c r="F32" s="54" t="s">
        <v>80</v>
      </c>
      <c r="G32" s="4"/>
    </row>
    <row r="33" spans="1:7" ht="12.75" customHeight="1" x14ac:dyDescent="0.2">
      <c r="A33" s="7"/>
      <c r="B33" s="38">
        <v>840</v>
      </c>
      <c r="C33" s="4">
        <v>26050</v>
      </c>
      <c r="D33" s="4">
        <f>C144</f>
        <v>0</v>
      </c>
      <c r="E33" s="54" t="s">
        <v>11</v>
      </c>
      <c r="F33" s="54" t="s">
        <v>85</v>
      </c>
      <c r="G33" s="4"/>
    </row>
    <row r="34" spans="1:7" ht="12.75" customHeight="1" x14ac:dyDescent="0.2">
      <c r="A34" s="7"/>
      <c r="B34" s="38">
        <v>840</v>
      </c>
      <c r="C34" s="4">
        <v>27000</v>
      </c>
      <c r="D34" s="4"/>
      <c r="E34" s="54" t="s">
        <v>81</v>
      </c>
      <c r="F34" s="54" t="s">
        <v>82</v>
      </c>
      <c r="G34" s="4"/>
    </row>
    <row r="35" spans="1:7" ht="12.75" customHeight="1" x14ac:dyDescent="0.2">
      <c r="A35" s="7"/>
      <c r="B35" s="38">
        <v>840</v>
      </c>
      <c r="C35" s="4">
        <v>28000</v>
      </c>
      <c r="D35" s="4"/>
      <c r="E35" s="54" t="s">
        <v>84</v>
      </c>
      <c r="F35" s="54" t="s">
        <v>86</v>
      </c>
      <c r="G35" s="4"/>
    </row>
    <row r="36" spans="1:7" ht="13.5" thickBot="1" x14ac:dyDescent="0.25">
      <c r="A36" s="39"/>
      <c r="B36" s="40" t="str">
        <f>IF(VOID!E22=0, "", VOID!E22)</f>
        <v/>
      </c>
      <c r="C36" s="39" t="str">
        <f>IF(VOID!F22=0, "", VOID!F22)</f>
        <v/>
      </c>
      <c r="D36" s="39" t="str">
        <f>IF(VOID!G22=0, "", VOID!G22)</f>
        <v/>
      </c>
      <c r="E36" s="41" t="str">
        <f>IF(VOID!H22=0, "", VOID!H22)</f>
        <v/>
      </c>
      <c r="F36" s="41" t="str">
        <f>IF(VOID!I22=0, "", VOID!I22)</f>
        <v/>
      </c>
      <c r="G36" s="39" t="str">
        <f>IF(VOID!J22=0, "", VOID!J22)</f>
        <v/>
      </c>
    </row>
    <row r="38" spans="1:7" x14ac:dyDescent="0.2">
      <c r="F38" s="2"/>
    </row>
    <row r="39" spans="1:7" x14ac:dyDescent="0.2">
      <c r="A39" s="61">
        <v>203</v>
      </c>
      <c r="B39" s="61">
        <v>35110</v>
      </c>
      <c r="C39" s="61">
        <f>ROUNDUP(C44/27,)</f>
        <v>0</v>
      </c>
      <c r="D39" s="62" t="s">
        <v>6</v>
      </c>
      <c r="E39" s="61"/>
      <c r="F39" s="67" t="s">
        <v>69</v>
      </c>
    </row>
    <row r="40" spans="1:7" x14ac:dyDescent="0.2">
      <c r="A40" s="24"/>
      <c r="B40" s="24"/>
      <c r="C40" s="24"/>
      <c r="D40" s="63"/>
      <c r="E40" s="24"/>
      <c r="F40" s="68"/>
    </row>
    <row r="41" spans="1:7" ht="15" x14ac:dyDescent="0.25">
      <c r="C41" s="64"/>
      <c r="D41" s="47" t="s">
        <v>11</v>
      </c>
      <c r="F41" s="46" t="s">
        <v>175</v>
      </c>
    </row>
    <row r="42" spans="1:7" ht="15" x14ac:dyDescent="0.25">
      <c r="A42" s="24"/>
      <c r="B42" s="24"/>
      <c r="C42" s="64"/>
      <c r="D42" s="47" t="s">
        <v>10</v>
      </c>
      <c r="F42" s="46" t="s">
        <v>97</v>
      </c>
    </row>
    <row r="43" spans="1:7" x14ac:dyDescent="0.2">
      <c r="A43" s="24"/>
      <c r="B43" s="24"/>
      <c r="C43"/>
      <c r="D43" s="47"/>
      <c r="F43" s="46"/>
    </row>
    <row r="44" spans="1:7" x14ac:dyDescent="0.2">
      <c r="A44" s="24"/>
      <c r="B44" s="24"/>
      <c r="C44" s="1">
        <f>C42*C41</f>
        <v>0</v>
      </c>
      <c r="D44" s="47" t="s">
        <v>98</v>
      </c>
      <c r="F44" s="46" t="s">
        <v>99</v>
      </c>
    </row>
    <row r="45" spans="1:7" x14ac:dyDescent="0.2">
      <c r="A45" s="24"/>
      <c r="B45" s="24"/>
      <c r="C45" s="24"/>
      <c r="D45" s="24"/>
      <c r="E45" s="24"/>
      <c r="F45" s="26"/>
    </row>
    <row r="46" spans="1:7" x14ac:dyDescent="0.2">
      <c r="A46" s="24"/>
      <c r="B46" s="24"/>
      <c r="C46" s="24"/>
      <c r="D46" s="24"/>
      <c r="E46" s="24"/>
      <c r="F46" s="26"/>
    </row>
    <row r="47" spans="1:7" x14ac:dyDescent="0.2">
      <c r="A47" s="61">
        <v>203</v>
      </c>
      <c r="B47" s="61">
        <v>35120</v>
      </c>
      <c r="C47" s="61">
        <f>ROUNDUP(C51/27,)</f>
        <v>0</v>
      </c>
      <c r="D47" s="62" t="s">
        <v>6</v>
      </c>
      <c r="E47" s="61"/>
      <c r="F47" s="67" t="s">
        <v>95</v>
      </c>
    </row>
    <row r="48" spans="1:7" x14ac:dyDescent="0.2">
      <c r="F48" s="2"/>
    </row>
    <row r="49" spans="1:6" ht="15" x14ac:dyDescent="0.25">
      <c r="C49" s="64"/>
      <c r="D49" s="47" t="s">
        <v>11</v>
      </c>
      <c r="F49" s="46" t="s">
        <v>171</v>
      </c>
    </row>
    <row r="50" spans="1:6" ht="15" x14ac:dyDescent="0.25">
      <c r="C50" s="64"/>
      <c r="D50" s="47" t="s">
        <v>10</v>
      </c>
      <c r="F50" s="46" t="s">
        <v>97</v>
      </c>
    </row>
    <row r="51" spans="1:6" x14ac:dyDescent="0.2">
      <c r="C51" s="1">
        <f>C50*C49</f>
        <v>0</v>
      </c>
      <c r="D51" s="47" t="s">
        <v>98</v>
      </c>
      <c r="F51" s="46" t="s">
        <v>99</v>
      </c>
    </row>
    <row r="52" spans="1:6" x14ac:dyDescent="0.2">
      <c r="D52" s="47"/>
      <c r="F52" s="46"/>
    </row>
    <row r="53" spans="1:6" x14ac:dyDescent="0.2">
      <c r="A53" s="74" t="s">
        <v>7</v>
      </c>
      <c r="B53" s="70">
        <v>20365000</v>
      </c>
      <c r="C53" s="70">
        <f>C55</f>
        <v>0</v>
      </c>
      <c r="D53" s="66" t="s">
        <v>37</v>
      </c>
      <c r="E53" s="71"/>
      <c r="F53" s="58" t="s">
        <v>71</v>
      </c>
    </row>
    <row r="54" spans="1:6" x14ac:dyDescent="0.2">
      <c r="D54" s="47"/>
      <c r="F54" s="46"/>
    </row>
    <row r="55" spans="1:6" ht="15" x14ac:dyDescent="0.25">
      <c r="C55" s="64"/>
      <c r="D55" s="47" t="s">
        <v>37</v>
      </c>
      <c r="F55" s="46" t="s">
        <v>192</v>
      </c>
    </row>
    <row r="56" spans="1:6" x14ac:dyDescent="0.2">
      <c r="D56" s="47"/>
      <c r="F56" s="46"/>
    </row>
    <row r="57" spans="1:6" x14ac:dyDescent="0.2">
      <c r="A57" s="70">
        <v>203</v>
      </c>
      <c r="B57" s="70">
        <v>98000</v>
      </c>
      <c r="C57" s="70">
        <f>ROUNDUP(C59/27,)</f>
        <v>0</v>
      </c>
      <c r="D57" s="66" t="s">
        <v>6</v>
      </c>
      <c r="E57" s="71"/>
      <c r="F57" s="58" t="s">
        <v>89</v>
      </c>
    </row>
    <row r="58" spans="1:6" x14ac:dyDescent="0.2">
      <c r="D58" s="47"/>
      <c r="F58" s="46"/>
    </row>
    <row r="59" spans="1:6" x14ac:dyDescent="0.2">
      <c r="C59" s="1">
        <v>0</v>
      </c>
      <c r="D59" s="47" t="s">
        <v>98</v>
      </c>
      <c r="F59" s="46" t="s">
        <v>196</v>
      </c>
    </row>
    <row r="60" spans="1:6" x14ac:dyDescent="0.2">
      <c r="D60" s="47"/>
      <c r="F60" s="46"/>
    </row>
    <row r="61" spans="1:6" x14ac:dyDescent="0.2">
      <c r="A61" s="70">
        <v>203</v>
      </c>
      <c r="B61" s="70">
        <v>98000</v>
      </c>
      <c r="C61" s="70">
        <f>ROUNDUP(C63/27,)</f>
        <v>0</v>
      </c>
      <c r="D61" s="66" t="s">
        <v>6</v>
      </c>
      <c r="E61" s="71"/>
      <c r="F61" s="58" t="s">
        <v>197</v>
      </c>
    </row>
    <row r="62" spans="1:6" x14ac:dyDescent="0.2">
      <c r="D62" s="47"/>
      <c r="F62" s="46"/>
    </row>
    <row r="63" spans="1:6" x14ac:dyDescent="0.2">
      <c r="C63" s="9">
        <v>0</v>
      </c>
      <c r="D63" s="47" t="s">
        <v>98</v>
      </c>
      <c r="F63" s="46" t="s">
        <v>199</v>
      </c>
    </row>
    <row r="64" spans="1:6" x14ac:dyDescent="0.2">
      <c r="F64" s="2"/>
    </row>
    <row r="65" spans="1:6" x14ac:dyDescent="0.2">
      <c r="A65" s="61">
        <v>511</v>
      </c>
      <c r="B65" s="61">
        <v>71200</v>
      </c>
      <c r="C65" s="61">
        <f>ROUNDUP(C67,)</f>
        <v>0</v>
      </c>
      <c r="D65" s="62" t="s">
        <v>11</v>
      </c>
      <c r="E65" s="61"/>
      <c r="F65" s="67" t="s">
        <v>92</v>
      </c>
    </row>
    <row r="66" spans="1:6" x14ac:dyDescent="0.2">
      <c r="F66" s="2"/>
    </row>
    <row r="67" spans="1:6" ht="15" x14ac:dyDescent="0.25">
      <c r="C67" s="64"/>
      <c r="D67" s="65" t="s">
        <v>11</v>
      </c>
      <c r="F67" s="46" t="s">
        <v>193</v>
      </c>
    </row>
    <row r="68" spans="1:6" x14ac:dyDescent="0.2">
      <c r="F68" s="2"/>
    </row>
    <row r="69" spans="1:6" x14ac:dyDescent="0.2">
      <c r="A69" s="61">
        <v>511</v>
      </c>
      <c r="B69" s="61">
        <v>81100</v>
      </c>
      <c r="C69" s="61">
        <f>ROUNDUP(C71,)</f>
        <v>0</v>
      </c>
      <c r="D69" s="61" t="s">
        <v>10</v>
      </c>
      <c r="E69" s="61"/>
      <c r="F69" s="58" t="s">
        <v>93</v>
      </c>
    </row>
    <row r="70" spans="1:6" x14ac:dyDescent="0.2">
      <c r="F70" s="2"/>
    </row>
    <row r="71" spans="1:6" ht="15" x14ac:dyDescent="0.25">
      <c r="C71" s="64"/>
      <c r="D71" s="1" t="s">
        <v>10</v>
      </c>
      <c r="F71" s="2" t="s">
        <v>222</v>
      </c>
    </row>
    <row r="72" spans="1:6" x14ac:dyDescent="0.2">
      <c r="F72" s="2"/>
    </row>
    <row r="73" spans="1:6" x14ac:dyDescent="0.2">
      <c r="A73" s="61">
        <v>512</v>
      </c>
      <c r="B73" s="61">
        <v>10001</v>
      </c>
      <c r="C73" s="61">
        <f>ROUNDUP(C84/9,)</f>
        <v>0</v>
      </c>
      <c r="D73" s="61" t="s">
        <v>9</v>
      </c>
      <c r="E73" s="61"/>
      <c r="F73" s="58" t="s">
        <v>87</v>
      </c>
    </row>
    <row r="74" spans="1:6" x14ac:dyDescent="0.2">
      <c r="F74" s="2"/>
    </row>
    <row r="75" spans="1:6" x14ac:dyDescent="0.2">
      <c r="D75" s="1" t="s">
        <v>11</v>
      </c>
      <c r="F75" s="2" t="s">
        <v>128</v>
      </c>
    </row>
    <row r="76" spans="1:6" x14ac:dyDescent="0.2">
      <c r="F76" s="2"/>
    </row>
    <row r="77" spans="1:6" ht="15" x14ac:dyDescent="0.25">
      <c r="C77" s="64"/>
      <c r="D77" s="1" t="s">
        <v>10</v>
      </c>
      <c r="F77" s="2" t="s">
        <v>129</v>
      </c>
    </row>
    <row r="78" spans="1:6" ht="15" x14ac:dyDescent="0.25">
      <c r="C78" s="64"/>
      <c r="D78" s="1" t="s">
        <v>10</v>
      </c>
      <c r="F78" s="2" t="s">
        <v>130</v>
      </c>
    </row>
    <row r="79" spans="1:6" ht="15" x14ac:dyDescent="0.25">
      <c r="C79" s="64"/>
      <c r="D79" s="1" t="s">
        <v>10</v>
      </c>
      <c r="F79" s="2" t="s">
        <v>131</v>
      </c>
    </row>
    <row r="80" spans="1:6" ht="15" x14ac:dyDescent="0.25">
      <c r="C80" s="64"/>
      <c r="D80" s="1" t="s">
        <v>10</v>
      </c>
      <c r="F80" s="2" t="s">
        <v>164</v>
      </c>
    </row>
    <row r="81" spans="1:6" x14ac:dyDescent="0.2">
      <c r="F81" s="2"/>
    </row>
    <row r="82" spans="1:6" x14ac:dyDescent="0.2">
      <c r="C82" s="1">
        <f>(C77+C78+C79)*C80</f>
        <v>0</v>
      </c>
      <c r="D82" s="1" t="s">
        <v>11</v>
      </c>
      <c r="F82" s="2" t="s">
        <v>133</v>
      </c>
    </row>
    <row r="83" spans="1:6" x14ac:dyDescent="0.2">
      <c r="F83" s="2"/>
    </row>
    <row r="84" spans="1:6" x14ac:dyDescent="0.2">
      <c r="C84" s="1">
        <f>C75+C82</f>
        <v>0</v>
      </c>
      <c r="D84" s="1" t="s">
        <v>11</v>
      </c>
      <c r="F84" s="2" t="s">
        <v>134</v>
      </c>
    </row>
    <row r="85" spans="1:6" x14ac:dyDescent="0.2">
      <c r="F85" s="2"/>
    </row>
    <row r="86" spans="1:6" x14ac:dyDescent="0.2">
      <c r="A86" s="61">
        <v>512</v>
      </c>
      <c r="B86" s="61">
        <v>10100</v>
      </c>
      <c r="C86" s="61">
        <f>ROUNDUP(C97/9,)</f>
        <v>0</v>
      </c>
      <c r="D86" s="61" t="s">
        <v>9</v>
      </c>
      <c r="E86" s="61"/>
      <c r="F86" s="58" t="s">
        <v>88</v>
      </c>
    </row>
    <row r="87" spans="1:6" x14ac:dyDescent="0.2">
      <c r="F87" s="2"/>
    </row>
    <row r="88" spans="1:6" x14ac:dyDescent="0.2">
      <c r="D88" s="1" t="s">
        <v>11</v>
      </c>
      <c r="F88" s="2" t="s">
        <v>128</v>
      </c>
    </row>
    <row r="89" spans="1:6" x14ac:dyDescent="0.2">
      <c r="F89" s="2"/>
    </row>
    <row r="90" spans="1:6" ht="15" x14ac:dyDescent="0.25">
      <c r="C90" s="64"/>
      <c r="D90" s="1" t="s">
        <v>10</v>
      </c>
      <c r="F90" s="2" t="s">
        <v>129</v>
      </c>
    </row>
    <row r="91" spans="1:6" ht="15" x14ac:dyDescent="0.25">
      <c r="C91" s="64"/>
      <c r="D91" s="1" t="s">
        <v>10</v>
      </c>
      <c r="F91" s="2" t="s">
        <v>130</v>
      </c>
    </row>
    <row r="92" spans="1:6" ht="15" x14ac:dyDescent="0.25">
      <c r="C92" s="64"/>
      <c r="D92" s="1" t="s">
        <v>10</v>
      </c>
      <c r="F92" s="2" t="s">
        <v>131</v>
      </c>
    </row>
    <row r="93" spans="1:6" ht="15" x14ac:dyDescent="0.25">
      <c r="C93" s="64"/>
      <c r="D93" s="1" t="s">
        <v>10</v>
      </c>
      <c r="F93" s="2" t="s">
        <v>132</v>
      </c>
    </row>
    <row r="94" spans="1:6" x14ac:dyDescent="0.2">
      <c r="F94" s="2"/>
    </row>
    <row r="95" spans="1:6" x14ac:dyDescent="0.2">
      <c r="C95" s="1">
        <f>(C90+C91+C92)*C93</f>
        <v>0</v>
      </c>
      <c r="D95" s="1" t="s">
        <v>11</v>
      </c>
      <c r="F95" s="2" t="s">
        <v>133</v>
      </c>
    </row>
    <row r="96" spans="1:6" x14ac:dyDescent="0.2">
      <c r="F96" s="2"/>
    </row>
    <row r="97" spans="1:7" x14ac:dyDescent="0.2">
      <c r="C97" s="1">
        <f>C88+C95</f>
        <v>0</v>
      </c>
      <c r="D97" s="1" t="s">
        <v>11</v>
      </c>
      <c r="F97" s="2" t="s">
        <v>134</v>
      </c>
    </row>
    <row r="98" spans="1:7" x14ac:dyDescent="0.2">
      <c r="F98" s="2"/>
    </row>
    <row r="99" spans="1:7" x14ac:dyDescent="0.2">
      <c r="A99" s="61">
        <v>840</v>
      </c>
      <c r="B99" s="61">
        <v>20001</v>
      </c>
      <c r="C99" s="61">
        <f>ROUNDUP(C101,)</f>
        <v>0</v>
      </c>
      <c r="D99" s="61" t="s">
        <v>11</v>
      </c>
      <c r="E99" s="61"/>
      <c r="F99" s="58" t="s">
        <v>73</v>
      </c>
    </row>
    <row r="100" spans="1:7" x14ac:dyDescent="0.2">
      <c r="F100" s="2"/>
    </row>
    <row r="101" spans="1:7" ht="15" x14ac:dyDescent="0.25">
      <c r="C101" s="64"/>
      <c r="D101" s="65" t="s">
        <v>11</v>
      </c>
      <c r="F101" s="46" t="s">
        <v>178</v>
      </c>
      <c r="G101" s="1" t="s">
        <v>265</v>
      </c>
    </row>
    <row r="102" spans="1:7" x14ac:dyDescent="0.2">
      <c r="D102" s="47"/>
      <c r="F102" s="46"/>
    </row>
    <row r="103" spans="1:7" x14ac:dyDescent="0.2">
      <c r="A103" s="61">
        <v>840</v>
      </c>
      <c r="B103" s="61">
        <v>21000</v>
      </c>
      <c r="C103" s="61">
        <f>ROUNDUP(C111/27,)</f>
        <v>0</v>
      </c>
      <c r="D103" s="61" t="s">
        <v>6</v>
      </c>
      <c r="E103" s="61"/>
      <c r="F103" s="69" t="s">
        <v>74</v>
      </c>
    </row>
    <row r="104" spans="1:7" x14ac:dyDescent="0.2">
      <c r="F104" s="2"/>
    </row>
    <row r="105" spans="1:7" ht="15" x14ac:dyDescent="0.25">
      <c r="C105" s="72"/>
      <c r="D105" s="1" t="s">
        <v>11</v>
      </c>
      <c r="F105" s="46" t="s">
        <v>202</v>
      </c>
    </row>
    <row r="106" spans="1:7" ht="15" x14ac:dyDescent="0.25">
      <c r="C106" s="72"/>
      <c r="D106" s="47" t="s">
        <v>10</v>
      </c>
      <c r="F106" s="46" t="s">
        <v>203</v>
      </c>
    </row>
    <row r="107" spans="1:7" ht="15" x14ac:dyDescent="0.25">
      <c r="C107" s="72"/>
      <c r="D107" s="1" t="s">
        <v>10</v>
      </c>
      <c r="F107" s="46" t="s">
        <v>205</v>
      </c>
    </row>
    <row r="108" spans="1:7" x14ac:dyDescent="0.2">
      <c r="C108"/>
      <c r="F108" s="46"/>
    </row>
    <row r="109" spans="1:7" ht="15" x14ac:dyDescent="0.25">
      <c r="C109" s="72"/>
      <c r="D109" s="47" t="s">
        <v>11</v>
      </c>
      <c r="F109" s="46" t="s">
        <v>195</v>
      </c>
    </row>
    <row r="110" spans="1:7" x14ac:dyDescent="0.2">
      <c r="C110"/>
      <c r="F110" s="46"/>
    </row>
    <row r="111" spans="1:7" x14ac:dyDescent="0.2">
      <c r="C111" s="9">
        <f>C109*C107</f>
        <v>0</v>
      </c>
      <c r="D111" s="1" t="s">
        <v>98</v>
      </c>
      <c r="F111" s="46" t="s">
        <v>220</v>
      </c>
    </row>
    <row r="112" spans="1:7" x14ac:dyDescent="0.2">
      <c r="F112" s="2"/>
    </row>
    <row r="113" spans="1:6" x14ac:dyDescent="0.2">
      <c r="A113" s="61">
        <v>840</v>
      </c>
      <c r="B113" s="61">
        <v>22000</v>
      </c>
      <c r="C113" s="61">
        <f>ROUNDUP(C115/9,)</f>
        <v>0</v>
      </c>
      <c r="D113" s="61" t="s">
        <v>9</v>
      </c>
      <c r="E113" s="61"/>
      <c r="F113" s="69" t="s">
        <v>75</v>
      </c>
    </row>
    <row r="114" spans="1:6" x14ac:dyDescent="0.2">
      <c r="F114" s="2"/>
    </row>
    <row r="115" spans="1:6" x14ac:dyDescent="0.2">
      <c r="C115" s="1">
        <v>0</v>
      </c>
      <c r="D115" s="1" t="s">
        <v>11</v>
      </c>
      <c r="F115" s="46" t="s">
        <v>182</v>
      </c>
    </row>
    <row r="116" spans="1:6" x14ac:dyDescent="0.2">
      <c r="F116" s="2"/>
    </row>
    <row r="117" spans="1:6" x14ac:dyDescent="0.2">
      <c r="F117" s="2"/>
    </row>
    <row r="118" spans="1:6" x14ac:dyDescent="0.2">
      <c r="A118" s="61">
        <v>840</v>
      </c>
      <c r="B118" s="61">
        <v>23000</v>
      </c>
      <c r="C118" s="61">
        <f>ROUNDUP(C127/27,)</f>
        <v>0</v>
      </c>
      <c r="D118" s="62" t="s">
        <v>6</v>
      </c>
      <c r="E118" s="61"/>
      <c r="F118" s="67" t="s">
        <v>76</v>
      </c>
    </row>
    <row r="119" spans="1:6" x14ac:dyDescent="0.2">
      <c r="F119" s="2"/>
    </row>
    <row r="120" spans="1:6" x14ac:dyDescent="0.2">
      <c r="F120" s="2"/>
    </row>
    <row r="121" spans="1:6" ht="15" x14ac:dyDescent="0.25">
      <c r="C121" s="64"/>
      <c r="D121" s="47" t="s">
        <v>11</v>
      </c>
      <c r="F121" s="46" t="s">
        <v>221</v>
      </c>
    </row>
    <row r="122" spans="1:6" x14ac:dyDescent="0.2">
      <c r="C122"/>
      <c r="D122" s="47"/>
      <c r="F122" s="46"/>
    </row>
    <row r="123" spans="1:6" ht="15" x14ac:dyDescent="0.25">
      <c r="C123" s="64"/>
      <c r="D123" s="47"/>
      <c r="F123" s="46" t="s">
        <v>195</v>
      </c>
    </row>
    <row r="124" spans="1:6" ht="15" x14ac:dyDescent="0.25">
      <c r="C124" s="64"/>
      <c r="D124" s="47" t="s">
        <v>10</v>
      </c>
      <c r="F124" s="46" t="s">
        <v>200</v>
      </c>
    </row>
    <row r="125" spans="1:6" x14ac:dyDescent="0.2">
      <c r="C125" s="9"/>
      <c r="D125" s="47" t="s">
        <v>98</v>
      </c>
      <c r="F125" s="46" t="s">
        <v>194</v>
      </c>
    </row>
    <row r="126" spans="1:6" x14ac:dyDescent="0.2">
      <c r="C126"/>
      <c r="D126" s="47"/>
      <c r="F126" s="46"/>
    </row>
    <row r="127" spans="1:6" x14ac:dyDescent="0.2">
      <c r="C127" s="9"/>
      <c r="D127" s="47" t="s">
        <v>98</v>
      </c>
      <c r="F127" s="46" t="s">
        <v>125</v>
      </c>
    </row>
    <row r="128" spans="1:6" x14ac:dyDescent="0.2">
      <c r="F128" s="2"/>
    </row>
    <row r="129" spans="1:6" x14ac:dyDescent="0.2">
      <c r="A129" s="61">
        <v>840</v>
      </c>
      <c r="B129" s="61">
        <v>25010</v>
      </c>
      <c r="C129" s="61">
        <f>ROUNDUP(C134,)</f>
        <v>0</v>
      </c>
      <c r="D129" s="61" t="s">
        <v>10</v>
      </c>
      <c r="E129" s="61"/>
      <c r="F129" s="58" t="s">
        <v>78</v>
      </c>
    </row>
    <row r="130" spans="1:6" x14ac:dyDescent="0.2">
      <c r="F130" s="2"/>
    </row>
    <row r="131" spans="1:6" ht="15" x14ac:dyDescent="0.25">
      <c r="C131" s="64"/>
      <c r="D131" s="1" t="s">
        <v>10</v>
      </c>
      <c r="F131" s="46" t="s">
        <v>189</v>
      </c>
    </row>
    <row r="132" spans="1:6" ht="15" x14ac:dyDescent="0.25">
      <c r="C132" s="64"/>
      <c r="D132" s="47" t="s">
        <v>10</v>
      </c>
      <c r="F132" s="46" t="s">
        <v>206</v>
      </c>
    </row>
    <row r="133" spans="1:6" x14ac:dyDescent="0.2">
      <c r="D133" s="47"/>
      <c r="F133" s="46"/>
    </row>
    <row r="134" spans="1:6" x14ac:dyDescent="0.2">
      <c r="D134" s="47" t="s">
        <v>10</v>
      </c>
      <c r="F134" s="46" t="s">
        <v>191</v>
      </c>
    </row>
    <row r="135" spans="1:6" x14ac:dyDescent="0.2">
      <c r="F135" s="2"/>
    </row>
    <row r="136" spans="1:6" x14ac:dyDescent="0.2">
      <c r="A136" s="61">
        <v>840</v>
      </c>
      <c r="B136" s="61">
        <v>25020</v>
      </c>
      <c r="C136" s="61">
        <f>C138</f>
        <v>0</v>
      </c>
      <c r="D136" s="61" t="s">
        <v>10</v>
      </c>
      <c r="E136" s="61"/>
      <c r="F136" s="58" t="s">
        <v>79</v>
      </c>
    </row>
    <row r="137" spans="1:6" x14ac:dyDescent="0.2">
      <c r="F137" s="2"/>
    </row>
    <row r="138" spans="1:6" x14ac:dyDescent="0.2">
      <c r="C138" s="1">
        <v>0</v>
      </c>
      <c r="D138" s="1" t="s">
        <v>10</v>
      </c>
      <c r="F138" s="46" t="s">
        <v>174</v>
      </c>
    </row>
    <row r="139" spans="1:6" x14ac:dyDescent="0.2">
      <c r="F139" s="2"/>
    </row>
    <row r="140" spans="1:6" x14ac:dyDescent="0.2">
      <c r="A140" s="70">
        <v>840</v>
      </c>
      <c r="B140" s="70">
        <v>26000</v>
      </c>
      <c r="C140" s="70">
        <f>ROUNDUP(C142,)</f>
        <v>0</v>
      </c>
      <c r="D140" s="66" t="s">
        <v>10</v>
      </c>
      <c r="E140" s="71"/>
      <c r="F140" s="58" t="s">
        <v>80</v>
      </c>
    </row>
    <row r="141" spans="1:6" x14ac:dyDescent="0.2">
      <c r="F141" s="2"/>
    </row>
    <row r="142" spans="1:6" ht="15" x14ac:dyDescent="0.25">
      <c r="C142" s="64"/>
      <c r="D142" s="1" t="s">
        <v>10</v>
      </c>
      <c r="F142" s="46" t="s">
        <v>172</v>
      </c>
    </row>
    <row r="143" spans="1:6" x14ac:dyDescent="0.2">
      <c r="F143" s="2"/>
    </row>
    <row r="144" spans="1:6" x14ac:dyDescent="0.2">
      <c r="A144" s="70">
        <v>840</v>
      </c>
      <c r="B144" s="70">
        <v>26050</v>
      </c>
      <c r="C144" s="70">
        <f>ROUNDUP(C146,)</f>
        <v>0</v>
      </c>
      <c r="D144" s="66" t="s">
        <v>11</v>
      </c>
      <c r="E144" s="71"/>
      <c r="F144" s="58" t="s">
        <v>85</v>
      </c>
    </row>
    <row r="145" spans="3:6" x14ac:dyDescent="0.2">
      <c r="F145" s="2"/>
    </row>
    <row r="146" spans="3:6" ht="15" x14ac:dyDescent="0.25">
      <c r="C146" s="64"/>
      <c r="D146" s="47" t="s">
        <v>11</v>
      </c>
      <c r="F146" s="46" t="s">
        <v>173</v>
      </c>
    </row>
    <row r="147" spans="3:6" x14ac:dyDescent="0.2">
      <c r="F147" s="2"/>
    </row>
  </sheetData>
  <mergeCells count="8">
    <mergeCell ref="A1:F2"/>
    <mergeCell ref="G1:G4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17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Quants</vt:lpstr>
      <vt:lpstr>E2</vt:lpstr>
      <vt:lpstr>E3</vt:lpstr>
      <vt:lpstr>E2_QUANT</vt:lpstr>
      <vt:lpstr>VOID</vt:lpstr>
      <vt:lpstr>E5</vt:lpstr>
      <vt:lpstr>E7</vt:lpstr>
      <vt:lpstr>E9</vt:lpstr>
      <vt:lpstr>E10</vt:lpstr>
      <vt:lpstr>W2</vt:lpstr>
      <vt:lpstr>W5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Kevin Jones</dc:creator>
  <cp:lastModifiedBy>Meet Shah</cp:lastModifiedBy>
  <cp:lastPrinted>2015-09-16T14:37:51Z</cp:lastPrinted>
  <dcterms:created xsi:type="dcterms:W3CDTF">2007-01-18T14:43:23Z</dcterms:created>
  <dcterms:modified xsi:type="dcterms:W3CDTF">2023-02-28T15:50:50Z</dcterms:modified>
</cp:coreProperties>
</file>